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IDS\Estimate Template\"/>
    </mc:Choice>
  </mc:AlternateContent>
  <xr:revisionPtr revIDLastSave="0" documentId="13_ncr:1_{0169F4B5-063A-4B99-ACC3-F09C527B7DAD}" xr6:coauthVersionLast="47" xr6:coauthVersionMax="47" xr10:uidLastSave="{00000000-0000-0000-0000-000000000000}"/>
  <bookViews>
    <workbookView xWindow="-108" yWindow="-108" windowWidth="23256" windowHeight="12576" tabRatio="777" xr2:uid="{00000000-000D-0000-FFFF-FFFF00000000}"/>
  </bookViews>
  <sheets>
    <sheet name="Instructions" sheetId="13" r:id="rId1"/>
    <sheet name="Protocol Cover Sheet" sheetId="1" r:id="rId2"/>
    <sheet name="Medications" sheetId="16" r:id="rId3"/>
    <sheet name="Startup" sheetId="4" r:id="rId4"/>
    <sheet name="Maintenence" sheetId="8" r:id="rId5"/>
    <sheet name="Dispensing" sheetId="15" r:id="rId6"/>
    <sheet name="Manufacturing-Testing-Other" sheetId="2" r:id="rId7"/>
    <sheet name="Testing" sheetId="7" state="hidden" r:id="rId8"/>
    <sheet name="Drug Prices" sheetId="12" r:id="rId9"/>
    <sheet name="Estimate Details" sheetId="11" r:id="rId10"/>
  </sheets>
  <definedNames>
    <definedName name="_xlnm.Print_Area" localSheetId="6">'Manufacturing-Testing-Other'!$A$1:$H$47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8" i="15" l="1"/>
  <c r="AF8" i="15"/>
  <c r="AB8" i="15"/>
  <c r="X8" i="15"/>
  <c r="T8" i="15"/>
  <c r="P8" i="15"/>
  <c r="L8" i="15"/>
  <c r="H8" i="15"/>
  <c r="D8" i="15"/>
  <c r="AJ5" i="15" l="1"/>
  <c r="AF5" i="15"/>
  <c r="AB5" i="15"/>
  <c r="X5" i="15"/>
  <c r="T5" i="15"/>
  <c r="P5" i="15"/>
  <c r="L5" i="15"/>
  <c r="H5" i="15"/>
  <c r="D5" i="15"/>
  <c r="I35" i="11"/>
  <c r="J35" i="11"/>
  <c r="K35" i="11"/>
  <c r="I36" i="11"/>
  <c r="J36" i="11"/>
  <c r="K36" i="11"/>
  <c r="I37" i="11"/>
  <c r="J37" i="11"/>
  <c r="K37" i="11"/>
  <c r="I38" i="11"/>
  <c r="J38" i="11"/>
  <c r="K38" i="11"/>
  <c r="I39" i="11"/>
  <c r="J39" i="11"/>
  <c r="K39" i="11"/>
  <c r="I41" i="11"/>
  <c r="J41" i="11"/>
  <c r="K41" i="11"/>
  <c r="I42" i="11"/>
  <c r="J42" i="11"/>
  <c r="K42" i="11"/>
  <c r="I43" i="11"/>
  <c r="J43" i="11"/>
  <c r="K43" i="11"/>
  <c r="I44" i="11"/>
  <c r="J44" i="11"/>
  <c r="K44" i="11"/>
  <c r="I45" i="11"/>
  <c r="J45" i="11"/>
  <c r="K45" i="11"/>
  <c r="I46" i="11"/>
  <c r="J46" i="11"/>
  <c r="K46" i="11"/>
  <c r="I47" i="11"/>
  <c r="J47" i="11"/>
  <c r="K47" i="11"/>
  <c r="I48" i="11"/>
  <c r="J48" i="11"/>
  <c r="K48" i="11"/>
  <c r="I49" i="11"/>
  <c r="J49" i="11"/>
  <c r="K49" i="11"/>
  <c r="I50" i="11"/>
  <c r="J50" i="11"/>
  <c r="K50" i="11"/>
  <c r="I51" i="11"/>
  <c r="J51" i="11"/>
  <c r="K51" i="11"/>
  <c r="I52" i="11"/>
  <c r="J52" i="11"/>
  <c r="K52" i="11"/>
  <c r="I53" i="11"/>
  <c r="J53" i="11"/>
  <c r="K53" i="11"/>
  <c r="I54" i="11"/>
  <c r="J54" i="11"/>
  <c r="K54" i="11"/>
  <c r="I55" i="11"/>
  <c r="J55" i="11"/>
  <c r="K55" i="11"/>
  <c r="H35" i="11"/>
  <c r="H36" i="11"/>
  <c r="H37" i="11"/>
  <c r="H38" i="11"/>
  <c r="H39" i="11"/>
  <c r="H41" i="11"/>
  <c r="H42" i="11"/>
  <c r="H43" i="11"/>
  <c r="H44" i="11"/>
  <c r="H45" i="11"/>
  <c r="H46" i="11"/>
  <c r="H47" i="11"/>
  <c r="H48" i="11"/>
  <c r="H49" i="11"/>
  <c r="H50" i="11"/>
  <c r="H51" i="11"/>
  <c r="H52" i="11"/>
  <c r="H53" i="11"/>
  <c r="H54" i="11"/>
  <c r="H55" i="11"/>
  <c r="Q32" i="2"/>
  <c r="R32" i="2"/>
  <c r="Q31" i="2"/>
  <c r="R31" i="2"/>
  <c r="E14" i="12"/>
  <c r="H67" i="11" s="1"/>
  <c r="G67" i="11" s="1"/>
  <c r="E15" i="12"/>
  <c r="H68" i="11" s="1"/>
  <c r="J68" i="11" s="1"/>
  <c r="E16" i="12"/>
  <c r="H69" i="11" s="1"/>
  <c r="E17" i="12"/>
  <c r="E18" i="12"/>
  <c r="H71" i="11" s="1"/>
  <c r="K71" i="11" s="1"/>
  <c r="E19" i="12"/>
  <c r="H72" i="11" s="1"/>
  <c r="I72" i="11" s="1"/>
  <c r="E20" i="12"/>
  <c r="E13" i="12"/>
  <c r="H73" i="11"/>
  <c r="I73" i="11" s="1"/>
  <c r="E12" i="12"/>
  <c r="H65" i="11" s="1"/>
  <c r="H70" i="11"/>
  <c r="K70" i="11" s="1"/>
  <c r="H66" i="11"/>
  <c r="G66" i="11" s="1"/>
  <c r="N5" i="2"/>
  <c r="O5" i="2" s="1"/>
  <c r="P5" i="2" s="1"/>
  <c r="J4" i="8"/>
  <c r="G73" i="11" l="1"/>
  <c r="K73" i="11"/>
  <c r="J71" i="11"/>
  <c r="I71" i="11"/>
  <c r="K69" i="11"/>
  <c r="I69" i="11"/>
  <c r="J69" i="11"/>
  <c r="G68" i="11"/>
  <c r="I67" i="11"/>
  <c r="J67" i="11"/>
  <c r="I65" i="11"/>
  <c r="J65" i="11"/>
  <c r="K65" i="11"/>
  <c r="K66" i="11"/>
  <c r="J70" i="11"/>
  <c r="J73" i="11"/>
  <c r="I70" i="11"/>
  <c r="K68" i="11"/>
  <c r="I68" i="11"/>
  <c r="J66" i="11"/>
  <c r="I66" i="11"/>
  <c r="K67" i="11"/>
  <c r="G70" i="11"/>
  <c r="K72" i="11"/>
  <c r="J72" i="11"/>
  <c r="F42" i="4" l="1"/>
  <c r="B52" i="4" l="1"/>
  <c r="B50" i="4"/>
  <c r="C4" i="15"/>
  <c r="D9" i="15"/>
  <c r="C11" i="15"/>
  <c r="D11" i="15"/>
  <c r="C12" i="15"/>
  <c r="C19" i="15" s="1"/>
  <c r="C13" i="15"/>
  <c r="C15" i="15"/>
  <c r="C17" i="15"/>
  <c r="C18" i="15"/>
  <c r="C20" i="15"/>
  <c r="C22" i="15"/>
  <c r="AI4" i="15"/>
  <c r="AE4" i="15"/>
  <c r="AA4" i="15"/>
  <c r="W4" i="15"/>
  <c r="S4" i="15"/>
  <c r="O4" i="15"/>
  <c r="K4" i="15"/>
  <c r="G4" i="15"/>
  <c r="E24" i="4"/>
  <c r="U8" i="16"/>
  <c r="U9" i="16"/>
  <c r="U10" i="16"/>
  <c r="U11" i="16"/>
  <c r="U12" i="16"/>
  <c r="U13" i="16"/>
  <c r="U14" i="16"/>
  <c r="U15" i="16"/>
  <c r="U7" i="16"/>
  <c r="N8" i="16"/>
  <c r="N9" i="16"/>
  <c r="N10" i="16"/>
  <c r="N11" i="16"/>
  <c r="N12" i="16"/>
  <c r="N13" i="16"/>
  <c r="N14" i="16"/>
  <c r="N15" i="16"/>
  <c r="N7" i="16"/>
  <c r="O8" i="16"/>
  <c r="O9" i="16"/>
  <c r="O10" i="16"/>
  <c r="O11" i="16"/>
  <c r="O12" i="16"/>
  <c r="O13" i="16"/>
  <c r="O14" i="16"/>
  <c r="O15" i="16"/>
  <c r="O7" i="16"/>
  <c r="I4" i="8"/>
  <c r="P9" i="16" l="1"/>
  <c r="K9" i="16" s="1"/>
  <c r="P11" i="16"/>
  <c r="K11" i="16" s="1"/>
  <c r="P15" i="16"/>
  <c r="K15" i="16" s="1"/>
  <c r="P14" i="16"/>
  <c r="K14" i="16" s="1"/>
  <c r="P12" i="16"/>
  <c r="K12" i="16" s="1"/>
  <c r="P8" i="16"/>
  <c r="K8" i="16" s="1"/>
  <c r="P13" i="16"/>
  <c r="C23" i="15"/>
  <c r="P10" i="16"/>
  <c r="F24" i="4"/>
  <c r="E8" i="15"/>
  <c r="E5" i="15" s="1"/>
  <c r="C9" i="15"/>
  <c r="C5" i="15"/>
  <c r="P7" i="16"/>
  <c r="K7" i="16" s="1"/>
  <c r="K13" i="16" l="1"/>
  <c r="K10" i="16"/>
  <c r="C39" i="15"/>
  <c r="C8" i="15"/>
  <c r="Q7" i="16"/>
  <c r="T7" i="16" s="1"/>
  <c r="Q8" i="16" l="1"/>
  <c r="S7" i="16"/>
  <c r="R7" i="16"/>
  <c r="T8" i="16" l="1"/>
  <c r="S8" i="16"/>
  <c r="Q9" i="16"/>
  <c r="R8" i="16"/>
  <c r="T9" i="16" l="1"/>
  <c r="Q10" i="16"/>
  <c r="R9" i="16"/>
  <c r="S9" i="16"/>
  <c r="R10" i="16" l="1"/>
  <c r="S10" i="16"/>
  <c r="T10" i="16"/>
  <c r="Q11" i="16"/>
  <c r="AI20" i="15"/>
  <c r="AE20" i="15"/>
  <c r="AA20" i="15"/>
  <c r="W20" i="15"/>
  <c r="S20" i="15"/>
  <c r="O20" i="15"/>
  <c r="K20" i="15"/>
  <c r="G20" i="15"/>
  <c r="E36" i="1"/>
  <c r="R11" i="16" l="1"/>
  <c r="S11" i="16"/>
  <c r="T11" i="16"/>
  <c r="Q12" i="16"/>
  <c r="R3" i="2"/>
  <c r="R4" i="2"/>
  <c r="R5" i="2"/>
  <c r="R6" i="2"/>
  <c r="R7" i="2"/>
  <c r="R8" i="2"/>
  <c r="R9" i="2"/>
  <c r="R10" i="2"/>
  <c r="R2" i="2"/>
  <c r="Q3" i="2"/>
  <c r="Q4" i="2"/>
  <c r="Q5" i="2"/>
  <c r="Q6" i="2"/>
  <c r="Q7" i="2"/>
  <c r="Q8" i="2"/>
  <c r="Q9" i="2"/>
  <c r="Q10" i="2"/>
  <c r="Q2" i="2"/>
  <c r="S12" i="16" l="1"/>
  <c r="T12" i="16"/>
  <c r="R12" i="16"/>
  <c r="Q13" i="16"/>
  <c r="F4" i="8"/>
  <c r="H4" i="8"/>
  <c r="AI22" i="15"/>
  <c r="AI18" i="15"/>
  <c r="AI17" i="15"/>
  <c r="AI15" i="15"/>
  <c r="AI13" i="15"/>
  <c r="AI12" i="15"/>
  <c r="AJ11" i="15"/>
  <c r="AJ9" i="15"/>
  <c r="AE22" i="15"/>
  <c r="AE18" i="15"/>
  <c r="AE17" i="15"/>
  <c r="AE15" i="15"/>
  <c r="AE13" i="15"/>
  <c r="AE12" i="15"/>
  <c r="AF11" i="15"/>
  <c r="AF9" i="15"/>
  <c r="AA22" i="15"/>
  <c r="AA18" i="15"/>
  <c r="AA17" i="15"/>
  <c r="AA15" i="15"/>
  <c r="AA13" i="15"/>
  <c r="AA12" i="15"/>
  <c r="AB11" i="15"/>
  <c r="W22" i="15"/>
  <c r="W18" i="15"/>
  <c r="W17" i="15"/>
  <c r="W15" i="15"/>
  <c r="W13" i="15"/>
  <c r="W12" i="15"/>
  <c r="X11" i="15"/>
  <c r="X9" i="15"/>
  <c r="S22" i="15"/>
  <c r="S18" i="15"/>
  <c r="S17" i="15"/>
  <c r="S15" i="15"/>
  <c r="S13" i="15"/>
  <c r="S12" i="15"/>
  <c r="T11" i="15"/>
  <c r="O22" i="15"/>
  <c r="O18" i="15"/>
  <c r="O17" i="15"/>
  <c r="O15" i="15"/>
  <c r="O13" i="15"/>
  <c r="O12" i="15"/>
  <c r="P11" i="15"/>
  <c r="P9" i="15"/>
  <c r="K22" i="15"/>
  <c r="K18" i="15"/>
  <c r="K17" i="15"/>
  <c r="K15" i="15"/>
  <c r="K13" i="15"/>
  <c r="K12" i="15"/>
  <c r="L11" i="15"/>
  <c r="K11" i="15" s="1"/>
  <c r="L9" i="15"/>
  <c r="K9" i="15" s="1"/>
  <c r="G22" i="15"/>
  <c r="G18" i="15"/>
  <c r="G17" i="15"/>
  <c r="G15" i="15"/>
  <c r="G13" i="15"/>
  <c r="G12" i="15"/>
  <c r="H11" i="15"/>
  <c r="H9" i="15"/>
  <c r="S13" i="16" l="1"/>
  <c r="R13" i="16"/>
  <c r="Q14" i="16"/>
  <c r="T13" i="16"/>
  <c r="AA23" i="15"/>
  <c r="AC8" i="15"/>
  <c r="AC5" i="15" s="1"/>
  <c r="AI23" i="15"/>
  <c r="AK8" i="15"/>
  <c r="AK5" i="15" s="1"/>
  <c r="AE23" i="15"/>
  <c r="AG8" i="15"/>
  <c r="AG5" i="15" s="1"/>
  <c r="S5" i="15"/>
  <c r="T9" i="15"/>
  <c r="S9" i="15" s="1"/>
  <c r="AA5" i="15"/>
  <c r="AB9" i="15"/>
  <c r="AA9" i="15" s="1"/>
  <c r="AA19" i="15"/>
  <c r="O19" i="15"/>
  <c r="O23" i="15" s="1"/>
  <c r="AE19" i="15"/>
  <c r="W19" i="15"/>
  <c r="W23" i="15" s="1"/>
  <c r="S19" i="15"/>
  <c r="S23" i="15" s="1"/>
  <c r="K19" i="15"/>
  <c r="M8" i="15" s="1"/>
  <c r="M5" i="15" s="1"/>
  <c r="G19" i="15"/>
  <c r="G23" i="15" s="1"/>
  <c r="AI19" i="15"/>
  <c r="AI9" i="15"/>
  <c r="AI11" i="15"/>
  <c r="AI5" i="15"/>
  <c r="AE9" i="15"/>
  <c r="AE11" i="15"/>
  <c r="AE5" i="15"/>
  <c r="AA11" i="15"/>
  <c r="W9" i="15"/>
  <c r="W11" i="15"/>
  <c r="W5" i="15"/>
  <c r="S11" i="15"/>
  <c r="O9" i="15"/>
  <c r="O11" i="15"/>
  <c r="O5" i="15"/>
  <c r="K5" i="15"/>
  <c r="K8" i="15" s="1"/>
  <c r="G9" i="15"/>
  <c r="G11" i="15"/>
  <c r="G5" i="15"/>
  <c r="C25" i="4"/>
  <c r="C3" i="4"/>
  <c r="C8" i="4"/>
  <c r="C14" i="4"/>
  <c r="C21" i="4"/>
  <c r="F43" i="4"/>
  <c r="C43" i="4"/>
  <c r="C42" i="4"/>
  <c r="F33" i="4"/>
  <c r="C33" i="4"/>
  <c r="F21" i="4"/>
  <c r="F14" i="4"/>
  <c r="F8" i="4"/>
  <c r="F3" i="4"/>
  <c r="Y8" i="15" l="1"/>
  <c r="Y5" i="15" s="1"/>
  <c r="U8" i="15"/>
  <c r="U5" i="15" s="1"/>
  <c r="Q8" i="15"/>
  <c r="Q5" i="15" s="1"/>
  <c r="I8" i="15"/>
  <c r="I5" i="15" s="1"/>
  <c r="T14" i="16"/>
  <c r="S14" i="16"/>
  <c r="R14" i="16"/>
  <c r="Q15" i="16"/>
  <c r="K23" i="15"/>
  <c r="M11" i="15" s="1"/>
  <c r="AI8" i="15"/>
  <c r="AG9" i="15"/>
  <c r="U9" i="15"/>
  <c r="AK11" i="15"/>
  <c r="AC11" i="15"/>
  <c r="AC9" i="15"/>
  <c r="Y11" i="15"/>
  <c r="Y9" i="15"/>
  <c r="S39" i="15"/>
  <c r="O39" i="15"/>
  <c r="Q11" i="15"/>
  <c r="Q9" i="15"/>
  <c r="AE8" i="15"/>
  <c r="AA8" i="15"/>
  <c r="Z38" i="15" s="1"/>
  <c r="AA39" i="15"/>
  <c r="W39" i="15"/>
  <c r="W8" i="15"/>
  <c r="S8" i="15"/>
  <c r="O8" i="15"/>
  <c r="G8" i="15"/>
  <c r="I30" i="1" l="1"/>
  <c r="V38" i="15"/>
  <c r="N38" i="15"/>
  <c r="D28" i="1"/>
  <c r="G32" i="1"/>
  <c r="I27" i="1"/>
  <c r="D29" i="1"/>
  <c r="I32" i="1"/>
  <c r="T15" i="16"/>
  <c r="I35" i="1" s="1"/>
  <c r="R15" i="16"/>
  <c r="D30" i="1" s="1"/>
  <c r="S15" i="16"/>
  <c r="G35" i="1" s="1"/>
  <c r="G28" i="1"/>
  <c r="I28" i="1"/>
  <c r="I29" i="1"/>
  <c r="D27" i="1"/>
  <c r="G39" i="15"/>
  <c r="AH38" i="15"/>
  <c r="AG11" i="15"/>
  <c r="AE39" i="15"/>
  <c r="AD38" i="15"/>
  <c r="K39" i="15"/>
  <c r="U11" i="15"/>
  <c r="R38" i="15" s="1"/>
  <c r="M9" i="15"/>
  <c r="J38" i="15" s="1"/>
  <c r="I9" i="15"/>
  <c r="F38" i="15" s="1"/>
  <c r="I11" i="15"/>
  <c r="AK9" i="15"/>
  <c r="AI39" i="15"/>
  <c r="Q34" i="2"/>
  <c r="Q33" i="2"/>
  <c r="R22" i="2"/>
  <c r="R23" i="2"/>
  <c r="R24" i="2"/>
  <c r="R25" i="2"/>
  <c r="R26" i="2"/>
  <c r="R27" i="2"/>
  <c r="R28" i="2"/>
  <c r="Q22" i="2"/>
  <c r="Q23" i="2"/>
  <c r="Q24" i="2"/>
  <c r="Q25" i="2"/>
  <c r="Q26" i="2"/>
  <c r="Q27" i="2"/>
  <c r="Q28" i="2"/>
  <c r="Q29" i="2"/>
  <c r="B51" i="4"/>
  <c r="G27" i="1" l="1"/>
  <c r="G29" i="1"/>
  <c r="G30" i="1"/>
  <c r="G31" i="1"/>
  <c r="D31" i="1"/>
  <c r="I31" i="1"/>
  <c r="D32" i="1"/>
  <c r="D33" i="1"/>
  <c r="I33" i="1"/>
  <c r="G33" i="1"/>
  <c r="G34" i="1"/>
  <c r="D34" i="1"/>
  <c r="I34" i="1"/>
  <c r="D35" i="1"/>
  <c r="C13" i="4"/>
  <c r="C24" i="4"/>
  <c r="F13" i="4"/>
  <c r="F25" i="4"/>
  <c r="E23" i="4" l="1"/>
  <c r="C23" i="4" s="1"/>
  <c r="F23" i="4" l="1"/>
  <c r="O27" i="1"/>
  <c r="X1" i="2"/>
  <c r="S19" i="2" s="1"/>
  <c r="H3" i="11"/>
  <c r="K3" i="11" s="1"/>
  <c r="G39" i="11"/>
  <c r="G41" i="11"/>
  <c r="G42" i="11"/>
  <c r="G43" i="11"/>
  <c r="G44" i="11"/>
  <c r="G45" i="11"/>
  <c r="G46" i="11"/>
  <c r="G47" i="11"/>
  <c r="G48" i="11"/>
  <c r="G49" i="11"/>
  <c r="G50" i="11"/>
  <c r="G51" i="11"/>
  <c r="G52" i="11"/>
  <c r="G53" i="11"/>
  <c r="G54" i="11"/>
  <c r="G55" i="11"/>
  <c r="C3" i="11"/>
  <c r="R29" i="2"/>
  <c r="R30" i="2"/>
  <c r="Q30" i="2"/>
  <c r="AC1" i="8"/>
  <c r="O16" i="1"/>
  <c r="P16" i="1" s="1"/>
  <c r="Q16" i="1" s="1"/>
  <c r="G9" i="7"/>
  <c r="H9" i="7"/>
  <c r="G3" i="7"/>
  <c r="H3" i="7" s="1"/>
  <c r="G4" i="7"/>
  <c r="H4" i="7" s="1"/>
  <c r="G5" i="7"/>
  <c r="H5" i="7" s="1"/>
  <c r="G6" i="7"/>
  <c r="H6" i="7" s="1"/>
  <c r="G7" i="7"/>
  <c r="H7" i="7" s="1"/>
  <c r="H8" i="7"/>
  <c r="E9" i="7"/>
  <c r="F9" i="7" s="1"/>
  <c r="E8" i="7"/>
  <c r="F8" i="7"/>
  <c r="E7" i="7"/>
  <c r="F7" i="7" s="1"/>
  <c r="E6" i="7"/>
  <c r="F6" i="7" s="1"/>
  <c r="E5" i="7"/>
  <c r="F5" i="7" s="1"/>
  <c r="E4" i="7"/>
  <c r="F4" i="7"/>
  <c r="E3" i="7"/>
  <c r="F3" i="7"/>
  <c r="E45" i="4"/>
  <c r="E44" i="4"/>
  <c r="E37" i="4"/>
  <c r="E36" i="4"/>
  <c r="C36" i="4" s="1"/>
  <c r="E35" i="4"/>
  <c r="C35" i="4" s="1"/>
  <c r="E32" i="4"/>
  <c r="E27" i="4"/>
  <c r="E26" i="4"/>
  <c r="E22" i="4"/>
  <c r="E16" i="4"/>
  <c r="E17" i="4"/>
  <c r="C17" i="4" s="1"/>
  <c r="E18" i="4"/>
  <c r="E19" i="4"/>
  <c r="E15" i="4"/>
  <c r="C15" i="4" s="1"/>
  <c r="S32" i="2" l="1"/>
  <c r="V32" i="2" s="1"/>
  <c r="S31" i="2"/>
  <c r="V31" i="2" s="1"/>
  <c r="R34" i="2"/>
  <c r="S17" i="2"/>
  <c r="S18" i="2"/>
  <c r="Q27" i="1"/>
  <c r="P27" i="1"/>
  <c r="F16" i="4"/>
  <c r="C16" i="4"/>
  <c r="F22" i="4"/>
  <c r="C22" i="4"/>
  <c r="F26" i="4"/>
  <c r="C26" i="4"/>
  <c r="F28" i="4"/>
  <c r="C28" i="4"/>
  <c r="C45" i="4"/>
  <c r="F45" i="4"/>
  <c r="C44" i="4"/>
  <c r="F44" i="4"/>
  <c r="C37" i="4"/>
  <c r="F37" i="4"/>
  <c r="F36" i="4"/>
  <c r="F35" i="4"/>
  <c r="F15" i="4"/>
  <c r="E12" i="7"/>
  <c r="O28" i="1"/>
  <c r="R33" i="2"/>
  <c r="S40" i="2"/>
  <c r="S10" i="2"/>
  <c r="V10" i="2" s="1"/>
  <c r="S23" i="2"/>
  <c r="V23" i="2" s="1"/>
  <c r="S33" i="2"/>
  <c r="S24" i="2"/>
  <c r="S4" i="2"/>
  <c r="S12" i="2"/>
  <c r="S2" i="2"/>
  <c r="V2" i="2" s="1"/>
  <c r="S5" i="2"/>
  <c r="V5" i="2" s="1"/>
  <c r="S16" i="2"/>
  <c r="S9" i="2"/>
  <c r="V9" i="2" s="1"/>
  <c r="S3" i="2"/>
  <c r="V3" i="2" s="1"/>
  <c r="J5" i="11" s="1"/>
  <c r="S11" i="2"/>
  <c r="S34" i="2"/>
  <c r="S25" i="2"/>
  <c r="V25" i="2" s="1"/>
  <c r="S13" i="2"/>
  <c r="S6" i="2"/>
  <c r="V6" i="2" s="1"/>
  <c r="S27" i="2"/>
  <c r="V27" i="2" s="1"/>
  <c r="S7" i="2"/>
  <c r="V7" i="2" s="1"/>
  <c r="S15" i="2"/>
  <c r="S28" i="2"/>
  <c r="V28" i="2" s="1"/>
  <c r="S8" i="2"/>
  <c r="S29" i="2"/>
  <c r="V29" i="2" s="1"/>
  <c r="S22" i="2"/>
  <c r="V22" i="2" s="1"/>
  <c r="K22" i="11" s="1"/>
  <c r="S14" i="2"/>
  <c r="S26" i="2"/>
  <c r="V26" i="2" s="1"/>
  <c r="S30" i="2"/>
  <c r="V30" i="2" s="1"/>
  <c r="F12" i="7"/>
  <c r="H12" i="7"/>
  <c r="I3" i="11"/>
  <c r="K4" i="8"/>
  <c r="X1" i="8" s="1"/>
  <c r="Y1" i="8" s="1"/>
  <c r="V35" i="2"/>
  <c r="V37" i="2"/>
  <c r="V36" i="2"/>
  <c r="J3" i="11"/>
  <c r="H32" i="11" l="1"/>
  <c r="K32" i="11"/>
  <c r="J32" i="11"/>
  <c r="I32" i="11"/>
  <c r="H31" i="11"/>
  <c r="J31" i="11"/>
  <c r="K31" i="11"/>
  <c r="I31" i="11"/>
  <c r="K25" i="11"/>
  <c r="I25" i="11"/>
  <c r="J25" i="11"/>
  <c r="H28" i="11"/>
  <c r="J28" i="11"/>
  <c r="I28" i="11"/>
  <c r="K28" i="11"/>
  <c r="H23" i="11"/>
  <c r="I23" i="11"/>
  <c r="J23" i="11"/>
  <c r="K23" i="11"/>
  <c r="I26" i="11"/>
  <c r="J26" i="11"/>
  <c r="K26" i="11"/>
  <c r="I29" i="11"/>
  <c r="J29" i="11"/>
  <c r="K29" i="11"/>
  <c r="H30" i="11"/>
  <c r="K30" i="11"/>
  <c r="I30" i="11"/>
  <c r="J30" i="11"/>
  <c r="I27" i="11"/>
  <c r="J27" i="11"/>
  <c r="K27" i="11"/>
  <c r="H26" i="11"/>
  <c r="H27" i="11"/>
  <c r="H29" i="11"/>
  <c r="H25" i="11"/>
  <c r="V34" i="2"/>
  <c r="K11" i="11"/>
  <c r="J11" i="11"/>
  <c r="H11" i="11"/>
  <c r="I11" i="11"/>
  <c r="H12" i="11"/>
  <c r="I12" i="11"/>
  <c r="K12" i="11"/>
  <c r="J12" i="11"/>
  <c r="V8" i="2"/>
  <c r="J10" i="11" s="1"/>
  <c r="V4" i="2"/>
  <c r="H6" i="11" s="1"/>
  <c r="Q28" i="1"/>
  <c r="P28" i="1"/>
  <c r="D55" i="4"/>
  <c r="M1" i="4" s="1"/>
  <c r="M2" i="4" s="1"/>
  <c r="M3" i="4" s="1"/>
  <c r="F55" i="4"/>
  <c r="H1" i="11" s="1"/>
  <c r="G1" i="11" s="1"/>
  <c r="J4" i="11"/>
  <c r="H4" i="11"/>
  <c r="I22" i="11"/>
  <c r="J22" i="11"/>
  <c r="H22" i="11"/>
  <c r="V33" i="2"/>
  <c r="O29" i="1"/>
  <c r="V38" i="2"/>
  <c r="K4" i="11"/>
  <c r="I4" i="11"/>
  <c r="V39" i="2"/>
  <c r="K5" i="11"/>
  <c r="V24" i="2"/>
  <c r="I9" i="11"/>
  <c r="K8" i="11"/>
  <c r="H5" i="11"/>
  <c r="I5" i="11"/>
  <c r="H7" i="11"/>
  <c r="K7" i="11"/>
  <c r="I7" i="11"/>
  <c r="J7" i="11"/>
  <c r="H34" i="11" l="1"/>
  <c r="I34" i="11"/>
  <c r="J34" i="11"/>
  <c r="K34" i="11"/>
  <c r="I33" i="11"/>
  <c r="J33" i="11"/>
  <c r="K33" i="11"/>
  <c r="H33" i="11"/>
  <c r="G33" i="11" s="1"/>
  <c r="I24" i="11"/>
  <c r="J24" i="11"/>
  <c r="K24" i="11"/>
  <c r="H24" i="11"/>
  <c r="G24" i="11" s="1"/>
  <c r="H2" i="11"/>
  <c r="J6" i="11"/>
  <c r="K10" i="11"/>
  <c r="I6" i="11"/>
  <c r="I10" i="11"/>
  <c r="H10" i="11"/>
  <c r="K6" i="11"/>
  <c r="O30" i="1"/>
  <c r="P30" i="1" s="1"/>
  <c r="P29" i="1"/>
  <c r="Q29" i="1"/>
  <c r="I1" i="11"/>
  <c r="K1" i="11"/>
  <c r="K9" i="11"/>
  <c r="J9" i="11"/>
  <c r="H8" i="11"/>
  <c r="I8" i="11"/>
  <c r="J8" i="11"/>
  <c r="H9" i="11"/>
  <c r="K2" i="11" l="1"/>
  <c r="G2" i="11"/>
  <c r="G3" i="11" s="1"/>
  <c r="G4" i="11" s="1"/>
  <c r="I2" i="11"/>
  <c r="J2" i="11" s="1"/>
  <c r="O31" i="1"/>
  <c r="P31" i="1" s="1"/>
  <c r="Q30" i="1"/>
  <c r="O32" i="1" l="1"/>
  <c r="P32" i="1" s="1"/>
  <c r="Q31" i="1"/>
  <c r="G5" i="11"/>
  <c r="G6" i="11" s="1"/>
  <c r="G7" i="11" s="1"/>
  <c r="O33" i="1" l="1"/>
  <c r="P33" i="1" s="1"/>
  <c r="Q32" i="1"/>
  <c r="G8" i="11"/>
  <c r="Q33" i="1" l="1"/>
  <c r="O34" i="1"/>
  <c r="P34" i="1" s="1"/>
  <c r="G9" i="11"/>
  <c r="G10" i="11" s="1"/>
  <c r="G12" i="11" s="1"/>
  <c r="Q34" i="1" l="1"/>
  <c r="O35" i="1"/>
  <c r="Z18" i="2" s="1"/>
  <c r="G11" i="11"/>
  <c r="G35" i="11"/>
  <c r="G36" i="11" s="1"/>
  <c r="E11" i="15" l="1"/>
  <c r="E9" i="15"/>
  <c r="B38" i="15" s="1"/>
  <c r="Z13" i="2"/>
  <c r="AB13" i="2" s="1"/>
  <c r="B14" i="2" s="1"/>
  <c r="Q35" i="1"/>
  <c r="AA18" i="2" s="1"/>
  <c r="A19" i="2" s="1"/>
  <c r="Z1" i="15" s="1"/>
  <c r="Z19" i="2"/>
  <c r="AA19" i="2" s="1"/>
  <c r="A20" i="2" s="1"/>
  <c r="P35" i="1"/>
  <c r="AB18" i="2" s="1"/>
  <c r="B19" i="2" s="1"/>
  <c r="Z17" i="2"/>
  <c r="AB17" i="2" s="1"/>
  <c r="B18" i="2" s="1"/>
  <c r="Z15" i="2"/>
  <c r="AA15" i="2" s="1"/>
  <c r="A16" i="2" s="1"/>
  <c r="Z14" i="2"/>
  <c r="AB14" i="2" s="1"/>
  <c r="B15" i="2" s="1"/>
  <c r="Z16" i="2"/>
  <c r="AB16" i="2" s="1"/>
  <c r="B17" i="2" s="1"/>
  <c r="Z12" i="2"/>
  <c r="AB12" i="2" s="1"/>
  <c r="B13" i="2" s="1"/>
  <c r="Z20" i="2"/>
  <c r="AA20" i="2" s="1"/>
  <c r="A21" i="2" s="1"/>
  <c r="AA4" i="2" l="1"/>
  <c r="B4" i="12" s="1"/>
  <c r="Z4" i="2"/>
  <c r="A4" i="12" s="1"/>
  <c r="AB4" i="2"/>
  <c r="AA7" i="2"/>
  <c r="B7" i="12" s="1"/>
  <c r="AB7" i="2"/>
  <c r="Z7" i="2"/>
  <c r="A7" i="12" s="1"/>
  <c r="AB6" i="2"/>
  <c r="AA6" i="2"/>
  <c r="B6" i="12" s="1"/>
  <c r="Z6" i="2"/>
  <c r="AB8" i="2"/>
  <c r="AA8" i="2"/>
  <c r="B8" i="12" s="1"/>
  <c r="Z8" i="2"/>
  <c r="AA2" i="2"/>
  <c r="B2" i="12" s="1"/>
  <c r="AA3" i="2"/>
  <c r="B3" i="12" s="1"/>
  <c r="AB19" i="2"/>
  <c r="B20" i="2" s="1"/>
  <c r="AB20" i="2"/>
  <c r="B21" i="2" s="1"/>
  <c r="AA13" i="2"/>
  <c r="A14" i="2" s="1"/>
  <c r="H14" i="2" s="1"/>
  <c r="AB3" i="2" s="1"/>
  <c r="AA12" i="2"/>
  <c r="A13" i="2" s="1"/>
  <c r="Z2" i="2" s="1"/>
  <c r="A2" i="12" s="1"/>
  <c r="H19" i="2"/>
  <c r="G19" i="2"/>
  <c r="I19" i="2"/>
  <c r="C19" i="2"/>
  <c r="AC15" i="2" s="1"/>
  <c r="AE15" i="2" s="1"/>
  <c r="AA17" i="2"/>
  <c r="A18" i="2" s="1"/>
  <c r="V1" i="15" s="1"/>
  <c r="AA16" i="2"/>
  <c r="A17" i="2" s="1"/>
  <c r="G17" i="2" s="1"/>
  <c r="AB15" i="2"/>
  <c r="B16" i="2" s="1"/>
  <c r="AA14" i="2"/>
  <c r="A15" i="2" s="1"/>
  <c r="C21" i="2"/>
  <c r="AC17" i="2" s="1"/>
  <c r="AE17" i="2" s="1"/>
  <c r="I21" i="2"/>
  <c r="G21" i="2"/>
  <c r="H21" i="2"/>
  <c r="H16" i="2"/>
  <c r="G16" i="2"/>
  <c r="C16" i="2"/>
  <c r="AC12" i="2" s="1"/>
  <c r="AE12" i="2" s="1"/>
  <c r="I16" i="2"/>
  <c r="AD1" i="15"/>
  <c r="C20" i="2"/>
  <c r="I20" i="2"/>
  <c r="H20" i="2"/>
  <c r="G20" i="2"/>
  <c r="AH1" i="15"/>
  <c r="N1" i="15"/>
  <c r="A8" i="12" l="1"/>
  <c r="E8" i="12" s="1"/>
  <c r="H62" i="11" s="1"/>
  <c r="A6" i="12"/>
  <c r="E6" i="12" s="1"/>
  <c r="H60" i="11" s="1"/>
  <c r="E4" i="12"/>
  <c r="H58" i="11" s="1"/>
  <c r="K58" i="11" s="1"/>
  <c r="Z3" i="2"/>
  <c r="A3" i="12" s="1"/>
  <c r="E3" i="12" s="1"/>
  <c r="H57" i="11" s="1"/>
  <c r="I57" i="11" s="1"/>
  <c r="AB9" i="2"/>
  <c r="Z9" i="2"/>
  <c r="AA9" i="2"/>
  <c r="B9" i="12" s="1"/>
  <c r="E2" i="12"/>
  <c r="H56" i="11" s="1"/>
  <c r="K56" i="11" s="1"/>
  <c r="AA5" i="2"/>
  <c r="B5" i="12" s="1"/>
  <c r="Z5" i="2"/>
  <c r="AB5" i="2"/>
  <c r="Z10" i="2"/>
  <c r="A10" i="12" s="1"/>
  <c r="E10" i="12" s="1"/>
  <c r="H64" i="11" s="1"/>
  <c r="I64" i="11" s="1"/>
  <c r="AA10" i="2"/>
  <c r="B10" i="12" s="1"/>
  <c r="AB10" i="2"/>
  <c r="E7" i="12"/>
  <c r="H61" i="11" s="1"/>
  <c r="I61" i="11" s="1"/>
  <c r="C14" i="2"/>
  <c r="AC10" i="2" s="1"/>
  <c r="F1" i="15"/>
  <c r="B1" i="15"/>
  <c r="I14" i="2"/>
  <c r="H18" i="2"/>
  <c r="G13" i="2"/>
  <c r="G14" i="2"/>
  <c r="C13" i="2"/>
  <c r="I13" i="2"/>
  <c r="H13" i="2"/>
  <c r="AB2" i="2" s="1"/>
  <c r="H15" i="2"/>
  <c r="J19" i="2"/>
  <c r="I15" i="2"/>
  <c r="J1" i="15"/>
  <c r="H21" i="11"/>
  <c r="H17" i="2"/>
  <c r="I17" i="2"/>
  <c r="C17" i="2"/>
  <c r="AC13" i="2" s="1"/>
  <c r="AE13" i="2" s="1"/>
  <c r="R1" i="15"/>
  <c r="C18" i="2"/>
  <c r="AC14" i="2" s="1"/>
  <c r="AE14" i="2" s="1"/>
  <c r="I18" i="2"/>
  <c r="G18" i="2"/>
  <c r="C15" i="2"/>
  <c r="AC11" i="2" s="1"/>
  <c r="AE11" i="2" s="1"/>
  <c r="G15" i="2"/>
  <c r="AD15" i="2"/>
  <c r="AF15" i="2" s="1"/>
  <c r="H19" i="11"/>
  <c r="J20" i="2"/>
  <c r="H16" i="11"/>
  <c r="J16" i="2"/>
  <c r="AC16" i="2"/>
  <c r="AE16" i="2" s="1"/>
  <c r="J21" i="2"/>
  <c r="AD17" i="2"/>
  <c r="AD12" i="2"/>
  <c r="G29" i="11"/>
  <c r="J60" i="11" l="1"/>
  <c r="I60" i="11"/>
  <c r="K60" i="11"/>
  <c r="J62" i="11"/>
  <c r="K62" i="11"/>
  <c r="I62" i="11"/>
  <c r="A9" i="12"/>
  <c r="E9" i="12" s="1"/>
  <c r="H63" i="11" s="1"/>
  <c r="A5" i="12"/>
  <c r="E5" i="12" s="1"/>
  <c r="H59" i="11" s="1"/>
  <c r="H14" i="11"/>
  <c r="AE10" i="2"/>
  <c r="AC9" i="2"/>
  <c r="AE9" i="2" s="1"/>
  <c r="Q19" i="2"/>
  <c r="U19" i="2" s="1"/>
  <c r="R19" i="2"/>
  <c r="V19" i="2" s="1"/>
  <c r="T19" i="2"/>
  <c r="J58" i="11"/>
  <c r="I58" i="11"/>
  <c r="J56" i="11"/>
  <c r="I56" i="11"/>
  <c r="J57" i="11"/>
  <c r="K57" i="11"/>
  <c r="J64" i="11"/>
  <c r="K64" i="11"/>
  <c r="K61" i="11"/>
  <c r="J61" i="11"/>
  <c r="AD10" i="2"/>
  <c r="J17" i="2"/>
  <c r="AD14" i="2"/>
  <c r="J15" i="2"/>
  <c r="R16" i="2" s="1"/>
  <c r="V16" i="2" s="1"/>
  <c r="J14" i="2"/>
  <c r="R15" i="2" s="1"/>
  <c r="V15" i="2" s="1"/>
  <c r="J13" i="2"/>
  <c r="R11" i="2" s="1"/>
  <c r="V11" i="2" s="1"/>
  <c r="J18" i="2"/>
  <c r="H18" i="11"/>
  <c r="H17" i="11"/>
  <c r="AD13" i="2"/>
  <c r="AF13" i="2" s="1"/>
  <c r="Q15" i="2"/>
  <c r="U15" i="2" s="1"/>
  <c r="T11" i="2"/>
  <c r="T12" i="2"/>
  <c r="Q16" i="2"/>
  <c r="U16" i="2" s="1"/>
  <c r="Q18" i="2"/>
  <c r="U18" i="2" s="1"/>
  <c r="Q14" i="2"/>
  <c r="U14" i="2" s="1"/>
  <c r="Q17" i="2"/>
  <c r="U17" i="2" s="1"/>
  <c r="T16" i="2"/>
  <c r="T18" i="2"/>
  <c r="T15" i="2"/>
  <c r="Q12" i="2"/>
  <c r="U12" i="2" s="1"/>
  <c r="T17" i="2"/>
  <c r="Q13" i="2"/>
  <c r="U13" i="2" s="1"/>
  <c r="T14" i="2"/>
  <c r="T13" i="2"/>
  <c r="Q11" i="2"/>
  <c r="U11" i="2" s="1"/>
  <c r="R17" i="2"/>
  <c r="V17" i="2" s="1"/>
  <c r="R14" i="2"/>
  <c r="V14" i="2" s="1"/>
  <c r="R12" i="2"/>
  <c r="V12" i="2" s="1"/>
  <c r="R18" i="2"/>
  <c r="V18" i="2" s="1"/>
  <c r="AD16" i="2"/>
  <c r="AF16" i="2" s="1"/>
  <c r="H20" i="11"/>
  <c r="I16" i="11"/>
  <c r="H15" i="11"/>
  <c r="J15" i="11" s="1"/>
  <c r="AD11" i="2"/>
  <c r="AF11" i="2" s="1"/>
  <c r="AF17" i="2"/>
  <c r="AF12" i="2"/>
  <c r="K16" i="11" s="1"/>
  <c r="J16" i="11"/>
  <c r="G30" i="11"/>
  <c r="J63" i="11" l="1"/>
  <c r="K63" i="11"/>
  <c r="I63" i="11"/>
  <c r="K59" i="11"/>
  <c r="J59" i="11"/>
  <c r="I59" i="11"/>
  <c r="J14" i="11"/>
  <c r="R40" i="2"/>
  <c r="V40" i="2" s="1"/>
  <c r="H40" i="11" s="1"/>
  <c r="I14" i="11"/>
  <c r="H13" i="11"/>
  <c r="G13" i="11" s="1"/>
  <c r="G14" i="11" s="1"/>
  <c r="AD9" i="2"/>
  <c r="AF9" i="2" s="1"/>
  <c r="R13" i="2"/>
  <c r="V13" i="2" s="1"/>
  <c r="AF10" i="2"/>
  <c r="K14" i="11" s="1"/>
  <c r="AF14" i="2"/>
  <c r="I17" i="11"/>
  <c r="K17" i="11"/>
  <c r="J17" i="11"/>
  <c r="I15" i="11"/>
  <c r="K15" i="11"/>
  <c r="J40" i="11" l="1"/>
  <c r="K40" i="11"/>
  <c r="I40" i="11"/>
  <c r="J13" i="11"/>
  <c r="G15" i="11"/>
  <c r="G16" i="11" s="1"/>
  <c r="G17" i="11" s="1"/>
  <c r="G18" i="11" s="1"/>
  <c r="G19" i="11" s="1"/>
  <c r="G20" i="11" s="1"/>
  <c r="G21" i="11" s="1"/>
  <c r="K13" i="11"/>
  <c r="I13" i="11"/>
  <c r="J18" i="11"/>
  <c r="I18" i="11"/>
  <c r="K18" i="11"/>
  <c r="J19" i="11"/>
  <c r="I19" i="11"/>
  <c r="K19" i="11"/>
  <c r="J21" i="11"/>
  <c r="I21" i="11"/>
  <c r="K21" i="11"/>
  <c r="I20" i="11"/>
  <c r="J20" i="11"/>
  <c r="K20" i="11"/>
  <c r="G22" i="11" l="1"/>
  <c r="G23" i="11" l="1"/>
  <c r="G25" i="11"/>
  <c r="G26" i="11" s="1"/>
  <c r="G28" i="11" s="1"/>
  <c r="G27" i="11" l="1"/>
  <c r="G31" i="11" l="1"/>
  <c r="G37" i="11" s="1"/>
  <c r="G32" i="11" l="1"/>
  <c r="G59" i="11"/>
  <c r="G60" i="11" s="1"/>
  <c r="G61" i="11"/>
  <c r="G38" i="11" l="1"/>
  <c r="G34" i="11"/>
  <c r="G56" i="11" s="1"/>
  <c r="G63" i="11"/>
  <c r="G64" i="11"/>
  <c r="G57" i="11" l="1"/>
  <c r="G58" i="11" s="1"/>
  <c r="G62" i="11"/>
  <c r="G65" i="11" s="1"/>
  <c r="G40" i="11"/>
  <c r="G71" i="11" l="1"/>
  <c r="G69" i="11"/>
  <c r="G72" i="11" l="1"/>
  <c r="M1" i="11" s="1"/>
  <c r="A6" i="11" s="1"/>
  <c r="E6" i="11" l="1"/>
  <c r="J1" i="11" s="1"/>
  <c r="D6" i="11" s="1"/>
  <c r="A7" i="11"/>
  <c r="E7" i="11" s="1"/>
  <c r="C6" i="11"/>
  <c r="B6" i="11"/>
  <c r="D7" i="11" l="1"/>
  <c r="A8" i="11"/>
  <c r="E8" i="11" s="1"/>
  <c r="B7" i="11"/>
  <c r="C7" i="11"/>
  <c r="C8" i="11" l="1"/>
  <c r="A9" i="11"/>
  <c r="E9" i="11" s="1"/>
  <c r="D8" i="11"/>
  <c r="B8" i="11"/>
  <c r="D9" i="11" l="1"/>
  <c r="B9" i="11"/>
  <c r="C9" i="11"/>
  <c r="A10" i="11"/>
  <c r="E10" i="11" s="1"/>
  <c r="D10" i="11" l="1"/>
  <c r="B10" i="11"/>
  <c r="A11" i="11"/>
  <c r="E11" i="11" s="1"/>
  <c r="C10" i="11"/>
  <c r="D11" i="11" l="1"/>
  <c r="B11" i="11"/>
  <c r="A12" i="11"/>
  <c r="E12" i="11" s="1"/>
  <c r="C11" i="11"/>
  <c r="D12" i="11" l="1"/>
  <c r="B12" i="11"/>
  <c r="C12" i="11"/>
  <c r="A13" i="11"/>
  <c r="E13" i="11" s="1"/>
  <c r="D13" i="11" l="1"/>
  <c r="B13" i="11"/>
  <c r="C13" i="11"/>
  <c r="A14" i="11"/>
  <c r="B14" i="11" s="1"/>
  <c r="E14" i="11" l="1"/>
  <c r="C14" i="11"/>
  <c r="D14" i="11"/>
  <c r="A15" i="11"/>
  <c r="E15" i="11" s="1"/>
  <c r="A16" i="11" l="1"/>
  <c r="E16" i="11" s="1"/>
  <c r="B15" i="11"/>
  <c r="D15" i="11"/>
  <c r="C15" i="11"/>
  <c r="A17" i="11"/>
  <c r="C17" i="11" s="1"/>
  <c r="D16" i="11"/>
  <c r="B16" i="11"/>
  <c r="C16" i="11" l="1"/>
  <c r="B17" i="11"/>
  <c r="A18" i="11"/>
  <c r="E18" i="11" s="1"/>
  <c r="E17" i="11"/>
  <c r="D17" i="11"/>
  <c r="C18" i="11" l="1"/>
  <c r="B18" i="11"/>
  <c r="A19" i="11"/>
  <c r="E19" i="11" s="1"/>
  <c r="D18" i="11"/>
  <c r="D19" i="11" l="1"/>
  <c r="A20" i="11"/>
  <c r="E20" i="11" s="1"/>
  <c r="C19" i="11"/>
  <c r="B19" i="11"/>
  <c r="B20" i="11" l="1"/>
  <c r="A21" i="11"/>
  <c r="E21" i="11" s="1"/>
  <c r="D20" i="11"/>
  <c r="C20" i="11"/>
  <c r="C21" i="11" l="1"/>
  <c r="B21" i="11"/>
  <c r="A22" i="11"/>
  <c r="E22" i="11" s="1"/>
  <c r="D21" i="11"/>
  <c r="D22" i="11" l="1"/>
  <c r="A23" i="11"/>
  <c r="E23" i="11" s="1"/>
  <c r="B22" i="11"/>
  <c r="C22" i="11"/>
  <c r="D23" i="11" l="1"/>
  <c r="B23" i="11"/>
  <c r="C23" i="11"/>
  <c r="A24" i="11"/>
  <c r="E24" i="11" s="1"/>
  <c r="D24" i="11" l="1"/>
  <c r="A25" i="11"/>
  <c r="E25" i="11" s="1"/>
  <c r="B24" i="11"/>
  <c r="C24" i="11"/>
  <c r="B25" i="11" l="1"/>
  <c r="A26" i="11"/>
  <c r="E26" i="11" s="1"/>
  <c r="D25" i="11"/>
  <c r="C25" i="11"/>
  <c r="D26" i="11" l="1"/>
  <c r="B26" i="11"/>
  <c r="C26" i="11"/>
  <c r="A27" i="11"/>
  <c r="E27" i="11" s="1"/>
  <c r="B27" i="11" l="1"/>
  <c r="D27" i="11"/>
  <c r="A28" i="11"/>
  <c r="E28" i="11" s="1"/>
  <c r="C27" i="11"/>
  <c r="A29" i="11" l="1"/>
  <c r="E29" i="11" s="1"/>
  <c r="D28" i="11"/>
  <c r="B28" i="11"/>
  <c r="C28" i="11"/>
  <c r="D29" i="11" l="1"/>
  <c r="A30" i="11"/>
  <c r="E30" i="11" s="1"/>
  <c r="B29" i="11"/>
  <c r="C29" i="11"/>
  <c r="D30" i="11" l="1"/>
  <c r="B30" i="11"/>
  <c r="A31" i="11"/>
  <c r="E31" i="11" s="1"/>
  <c r="C30" i="11"/>
  <c r="D31" i="11" l="1"/>
  <c r="B31" i="11"/>
  <c r="C31" i="11"/>
  <c r="A32" i="11"/>
  <c r="E32" i="11" s="1"/>
  <c r="A33" i="11" l="1"/>
  <c r="E33" i="11" s="1"/>
  <c r="D32" i="11"/>
  <c r="C32" i="11"/>
  <c r="B32" i="11"/>
  <c r="D33" i="11" l="1"/>
  <c r="B33" i="11"/>
  <c r="C33" i="11"/>
  <c r="A34" i="11"/>
  <c r="E34" i="11" s="1"/>
  <c r="D34" i="11" l="1"/>
  <c r="A35" i="11"/>
  <c r="E35" i="11" s="1"/>
  <c r="B34" i="11"/>
  <c r="C34" i="11"/>
  <c r="B35" i="11" l="1"/>
  <c r="D35" i="11"/>
  <c r="A36" i="11"/>
  <c r="E36" i="11" s="1"/>
  <c r="C35" i="11"/>
  <c r="D36" i="11" l="1"/>
  <c r="B36" i="11"/>
  <c r="C36" i="11"/>
  <c r="A37" i="11"/>
  <c r="E37" i="11" s="1"/>
  <c r="B37" i="11" l="1"/>
  <c r="A38" i="11"/>
  <c r="E38" i="11" s="1"/>
  <c r="C37" i="11"/>
  <c r="D37" i="11"/>
  <c r="C38" i="11" l="1"/>
  <c r="B38" i="11"/>
  <c r="A39" i="11"/>
  <c r="E39" i="11" s="1"/>
  <c r="D38" i="11"/>
  <c r="B39" i="11" l="1"/>
  <c r="D39" i="11"/>
  <c r="C39" i="11"/>
  <c r="A40" i="11"/>
  <c r="D40" i="11" s="1"/>
  <c r="B40" i="11" l="1"/>
  <c r="E40" i="11"/>
  <c r="C40" i="11"/>
  <c r="A41" i="11"/>
  <c r="E41" i="11" l="1"/>
  <c r="B41" i="11"/>
  <c r="D41" i="11"/>
  <c r="A42" i="11"/>
  <c r="C41" i="11"/>
  <c r="E42" i="11" l="1"/>
  <c r="D42" i="11"/>
  <c r="B42" i="11"/>
  <c r="C42" i="11"/>
  <c r="A43" i="11"/>
  <c r="E43" i="11" l="1"/>
  <c r="B43" i="11"/>
  <c r="C43" i="11"/>
  <c r="A44" i="11"/>
  <c r="D43" i="11"/>
  <c r="E44" i="11" l="1"/>
  <c r="C44" i="11"/>
  <c r="A45" i="11"/>
  <c r="D44" i="11"/>
  <c r="B44" i="11"/>
  <c r="E45" i="11" l="1"/>
  <c r="C45" i="11"/>
  <c r="D45" i="11"/>
  <c r="A46" i="11"/>
  <c r="B45" i="11"/>
  <c r="E46" i="11" l="1"/>
  <c r="C46" i="11"/>
  <c r="A47" i="11"/>
  <c r="D46" i="11"/>
  <c r="B46" i="11"/>
  <c r="E47" i="11" l="1"/>
  <c r="C47" i="11"/>
  <c r="D47" i="11"/>
  <c r="A48" i="11"/>
  <c r="B47" i="11"/>
  <c r="E48" i="11" l="1"/>
  <c r="A49" i="11"/>
  <c r="D48" i="11"/>
  <c r="B48" i="11"/>
  <c r="C48" i="11"/>
  <c r="E49" i="11" l="1"/>
  <c r="B49" i="11"/>
  <c r="D49" i="11"/>
  <c r="A50" i="11"/>
  <c r="C49" i="11"/>
  <c r="E50" i="11" l="1"/>
  <c r="C50" i="11"/>
  <c r="D50" i="11"/>
  <c r="B50" i="11"/>
  <c r="A51" i="11"/>
  <c r="E51" i="11" l="1"/>
  <c r="A52" i="11"/>
  <c r="C51" i="11"/>
  <c r="D51" i="11"/>
  <c r="B51" i="11"/>
  <c r="E52" i="11" l="1"/>
  <c r="E3" i="11" s="1"/>
  <c r="C52" i="11"/>
  <c r="A53" i="11"/>
  <c r="B52" i="11"/>
  <c r="D52" i="11"/>
  <c r="A54" i="11" l="1"/>
  <c r="B53" i="11"/>
  <c r="B54" i="11" l="1"/>
  <c r="A55" i="11"/>
  <c r="A56" i="11" l="1"/>
  <c r="B55" i="11"/>
  <c r="B56" i="11" l="1"/>
  <c r="A57" i="11"/>
  <c r="B57" i="11" l="1"/>
  <c r="A58" i="11"/>
  <c r="A59" i="11" l="1"/>
  <c r="B58" i="11"/>
  <c r="B59" i="11" l="1"/>
  <c r="A60" i="11"/>
  <c r="A61" i="11" l="1"/>
  <c r="B60" i="11"/>
  <c r="B61" i="11" l="1"/>
  <c r="A62" i="11"/>
  <c r="B62" i="11" l="1"/>
  <c r="A63" i="11"/>
  <c r="B63" i="11" l="1"/>
  <c r="A64" i="11"/>
  <c r="A65" i="11" l="1"/>
  <c r="B64" i="11"/>
  <c r="B65" i="11" l="1"/>
  <c r="A66" i="11"/>
  <c r="B66" i="11" l="1"/>
  <c r="A67" i="11"/>
  <c r="B67" i="11" l="1"/>
  <c r="A68" i="11"/>
  <c r="B68" i="11" l="1"/>
  <c r="A69" i="11"/>
  <c r="B69" i="11" l="1"/>
  <c r="A70" i="11"/>
  <c r="B70" i="11" l="1"/>
  <c r="A71" i="11"/>
  <c r="B71" i="11" l="1"/>
  <c r="A72" i="11"/>
  <c r="B72" i="11" l="1"/>
  <c r="A73" i="11"/>
  <c r="B73" i="11" l="1"/>
  <c r="A74" i="11"/>
  <c r="B74" i="11" l="1"/>
  <c r="A75" i="11"/>
  <c r="B75" i="11" l="1"/>
  <c r="A76" i="11"/>
  <c r="B76" i="11" l="1"/>
  <c r="A77" i="11"/>
  <c r="B77" i="11" l="1"/>
  <c r="A78" i="11"/>
  <c r="B78" i="11" l="1"/>
  <c r="A79" i="11"/>
  <c r="B79" i="11" l="1"/>
  <c r="A80" i="11"/>
  <c r="B80" i="11" l="1"/>
  <c r="A81" i="11"/>
  <c r="B81" i="11" l="1"/>
  <c r="A82" i="11"/>
  <c r="B82" i="11" l="1"/>
  <c r="A83" i="11"/>
  <c r="B83" i="11" l="1"/>
  <c r="A84" i="11"/>
  <c r="B84" i="11" l="1"/>
  <c r="A85" i="11"/>
  <c r="B85" i="11" l="1"/>
  <c r="A86" i="11"/>
  <c r="B86" i="11" l="1"/>
  <c r="A87" i="11"/>
  <c r="B87" i="11" l="1"/>
  <c r="A88" i="11"/>
  <c r="B88" i="11" l="1"/>
  <c r="A89" i="11"/>
  <c r="B89" i="11" l="1"/>
  <c r="A90" i="11"/>
  <c r="B90" i="11" l="1"/>
  <c r="A91" i="11"/>
  <c r="B91" i="11" l="1"/>
  <c r="A92" i="11"/>
  <c r="B92" i="11" l="1"/>
  <c r="A93" i="11"/>
  <c r="B93" i="11" l="1"/>
  <c r="A94" i="11"/>
  <c r="B94" i="11" l="1"/>
  <c r="A95" i="11"/>
  <c r="B95" i="11" l="1"/>
  <c r="A96" i="11"/>
  <c r="B96" i="11" l="1"/>
  <c r="A97" i="11"/>
  <c r="B97" i="11" l="1"/>
  <c r="A98" i="11"/>
  <c r="B98" i="11" l="1"/>
  <c r="A99" i="11"/>
  <c r="B99" i="11" l="1"/>
  <c r="A100" i="11"/>
  <c r="B100" i="11" s="1"/>
</calcChain>
</file>

<file path=xl/sharedStrings.xml><?xml version="1.0" encoding="utf-8"?>
<sst xmlns="http://schemas.openxmlformats.org/spreadsheetml/2006/main" count="447" uniqueCount="328">
  <si>
    <t># of Subjects planned</t>
  </si>
  <si>
    <t>Over what time period?</t>
  </si>
  <si>
    <t>Locations where patients will be dosed (or seen to provide take-home medications):</t>
  </si>
  <si>
    <t>Other:</t>
  </si>
  <si>
    <t>IRB # or IACUC # (if known)</t>
  </si>
  <si>
    <t>Funding Sponsor</t>
  </si>
  <si>
    <t>Regulatory Sponsor (if different)</t>
  </si>
  <si>
    <t>Given at what visits?</t>
  </si>
  <si>
    <t>Special Services</t>
  </si>
  <si>
    <t>PennIDS@pennmedicine.upenn.edu</t>
  </si>
  <si>
    <t>IDSNorth@pennmedicine.upenn.edu</t>
  </si>
  <si>
    <t>PROTOCOL COVER SHEET</t>
  </si>
  <si>
    <t>Protocol (short title):</t>
  </si>
  <si>
    <t>Investigator:</t>
  </si>
  <si>
    <t>Corrdinator &amp; Contact Information:</t>
  </si>
  <si>
    <t>Please include PROTOCOL, PHARMACY MANUAL (if applicable) and any other details/instructions that you feel are relevant in determining costs and feasibility.</t>
  </si>
  <si>
    <t>Tell us about the study:</t>
  </si>
  <si>
    <t xml:space="preserve">    Department:</t>
  </si>
  <si>
    <t>-</t>
  </si>
  <si>
    <r>
      <rPr>
        <sz val="11"/>
        <color theme="10"/>
        <rFont val="Calibri"/>
        <family val="2"/>
        <scheme val="minor"/>
      </rPr>
      <t xml:space="preserve">    </t>
    </r>
    <r>
      <rPr>
        <u/>
        <sz val="11"/>
        <color theme="10"/>
        <rFont val="Calibri"/>
        <family val="2"/>
        <scheme val="minor"/>
      </rPr>
      <t>www.itmat.upenn.edu/ids.shtml</t>
    </r>
  </si>
  <si>
    <t>Inpatient:</t>
  </si>
  <si>
    <t>What inpatient unit(s)?</t>
  </si>
  <si>
    <t xml:space="preserve">CHPS Research Units: </t>
  </si>
  <si>
    <t>Service</t>
  </si>
  <si>
    <t>Quantity</t>
  </si>
  <si>
    <t>Instructions</t>
  </si>
  <si>
    <t>Field</t>
  </si>
  <si>
    <t>Contribution to Cost</t>
  </si>
  <si>
    <t>Protocol Review (1 to 5 scale for complexity) - MANDATORY for all trials</t>
  </si>
  <si>
    <t>Dispensing Procedure Creation (enter study complexity as a range of 1 (v simple) to 5 (complicated multiple meds))</t>
  </si>
  <si>
    <t>Staff Training on new study</t>
  </si>
  <si>
    <t xml:space="preserve">Use of CONTROLLED SUBSTANCES </t>
  </si>
  <si>
    <t>BEACON build</t>
  </si>
  <si>
    <t>Simple EPIC outpatient build</t>
  </si>
  <si>
    <t>Will study drug be provided to the IDS?*</t>
  </si>
  <si>
    <t>Will placebo be provided to the IDS?*</t>
  </si>
  <si>
    <t>Will you need randomization tables created?*</t>
  </si>
  <si>
    <t>Do you need a kit or package designed for dispensing (i.e. blister cards, boxed vials)*</t>
  </si>
  <si>
    <t>Does sponsor require 'IVRS' training or 'GCP training' (sponsor-specific) before study launch?*</t>
  </si>
  <si>
    <t>Will study involve routine sponsored monitoring visits?</t>
  </si>
  <si>
    <t>Will the sponsor conduct an SIV prior to study launch?</t>
  </si>
  <si>
    <t xml:space="preserve">Do you need IDS to formulate blinded dosage forms for your trial? </t>
  </si>
  <si>
    <t>Special services (describe)</t>
  </si>
  <si>
    <t>Protocols involving inpatients at HUP or PPMC</t>
  </si>
  <si>
    <t>If YES: Is the study medication currently NOT marketed in the US for any other indication?</t>
  </si>
  <si>
    <t>Choose YES for ONLY ONE of the following:</t>
  </si>
  <si>
    <t>Does the protocol include always starting weekdays, though treatment may continue on weekends?</t>
  </si>
  <si>
    <t>Protocols involving multiple sites</t>
  </si>
  <si>
    <t>Does the project require sending product to other clinical sites (other investigators)?* (If NO: skip following 4 questions)</t>
  </si>
  <si>
    <t>If YES: how many other sites are planned?</t>
  </si>
  <si>
    <t xml:space="preserve">Enter actual # of sites IDS would be responsible for shipping to on a regular basis.  </t>
  </si>
  <si>
    <t>If YES: Are there international sites?</t>
  </si>
  <si>
    <t>If YES: Will you need a pharmacy manual or records created for other sites to use?</t>
  </si>
  <si>
    <t>If YES: Do you need IDS to attend or present to site staff at an investigator meeting? Or provide site training by Webinar?</t>
  </si>
  <si>
    <t>Relevant Cost Variables</t>
  </si>
  <si>
    <t>Variable</t>
  </si>
  <si>
    <t>Cost</t>
  </si>
  <si>
    <t>Pharmacist hourly rate</t>
  </si>
  <si>
    <t>Note any updates to these figures will auto-apply to</t>
  </si>
  <si>
    <t>Technician hourly rate</t>
  </si>
  <si>
    <t>all calculations above.  Pharmacist rate should match the</t>
  </si>
  <si>
    <t>Site set up fee</t>
  </si>
  <si>
    <t>Clinical Service Fee rate in Vestigo®.</t>
  </si>
  <si>
    <t>Total Cost:</t>
  </si>
  <si>
    <t>Yes or No</t>
  </si>
  <si>
    <t>Yes</t>
  </si>
  <si>
    <t>No</t>
  </si>
  <si>
    <t>Please refer to instructions for each section and enter value</t>
  </si>
  <si>
    <r>
      <rPr>
        <b/>
        <sz val="11"/>
        <rFont val="Calibri"/>
        <family val="2"/>
        <scheme val="minor"/>
      </rPr>
      <t>0</t>
    </r>
    <r>
      <rPr>
        <sz val="11"/>
        <rFont val="Calibri"/>
        <family val="2"/>
        <scheme val="minor"/>
      </rPr>
      <t xml:space="preserve"> for NO, </t>
    </r>
    <r>
      <rPr>
        <b/>
        <sz val="11"/>
        <rFont val="Calibri"/>
        <family val="2"/>
        <scheme val="minor"/>
      </rPr>
      <t>1</t>
    </r>
    <r>
      <rPr>
        <sz val="11"/>
        <rFont val="Calibri"/>
        <family val="2"/>
        <scheme val="minor"/>
      </rPr>
      <t xml:space="preserve"> for light monitoring (eg. sponsor or OCR visit once/year), </t>
    </r>
    <r>
      <rPr>
        <b/>
        <sz val="11"/>
        <rFont val="Calibri"/>
        <family val="2"/>
        <scheme val="minor"/>
      </rPr>
      <t>2</t>
    </r>
    <r>
      <rPr>
        <sz val="11"/>
        <rFont val="Calibri"/>
        <family val="2"/>
        <scheme val="minor"/>
      </rPr>
      <t xml:space="preserve"> for pharma/CRO monitoring multiple times/year, </t>
    </r>
    <r>
      <rPr>
        <b/>
        <sz val="11"/>
        <rFont val="Calibri"/>
        <family val="2"/>
        <scheme val="minor"/>
      </rPr>
      <t>3</t>
    </r>
    <r>
      <rPr>
        <sz val="11"/>
        <rFont val="Calibri"/>
        <family val="2"/>
        <scheme val="minor"/>
      </rPr>
      <t xml:space="preserve"> for intense monitoring (such as DAIDS quarterly full-day visits).</t>
    </r>
  </si>
  <si>
    <t>If YES to blinded dosage forms: How many different medications/strengths?</t>
  </si>
  <si>
    <r>
      <rPr>
        <b/>
        <sz val="11"/>
        <rFont val="Calibri"/>
        <family val="2"/>
        <scheme val="minor"/>
      </rPr>
      <t>0</t>
    </r>
    <r>
      <rPr>
        <sz val="11"/>
        <rFont val="Calibri"/>
        <family val="2"/>
        <scheme val="minor"/>
      </rPr>
      <t xml:space="preserve"> for NO, </t>
    </r>
    <r>
      <rPr>
        <b/>
        <sz val="11"/>
        <rFont val="Calibri"/>
        <family val="2"/>
        <scheme val="minor"/>
      </rPr>
      <t>1</t>
    </r>
    <r>
      <rPr>
        <sz val="11"/>
        <rFont val="Calibri"/>
        <family val="2"/>
        <scheme val="minor"/>
      </rPr>
      <t xml:space="preserve"> for YES, </t>
    </r>
    <r>
      <rPr>
        <b/>
        <sz val="11"/>
        <rFont val="Calibri"/>
        <family val="2"/>
        <scheme val="minor"/>
      </rPr>
      <t>2</t>
    </r>
    <r>
      <rPr>
        <sz val="11"/>
        <rFont val="Calibri"/>
        <family val="2"/>
        <scheme val="minor"/>
      </rPr>
      <t xml:space="preserve"> if multiple non-marketed agents.  If 'yes' then monograph must be written per UPHS policy</t>
    </r>
  </si>
  <si>
    <r>
      <rPr>
        <b/>
        <sz val="11"/>
        <rFont val="Calibri"/>
        <family val="2"/>
        <scheme val="minor"/>
      </rPr>
      <t xml:space="preserve"> 1</t>
    </r>
    <r>
      <rPr>
        <sz val="11"/>
        <rFont val="Calibri"/>
        <family val="2"/>
        <scheme val="minor"/>
      </rPr>
      <t xml:space="preserve"> = PI-initiated simple open-label single agent no manipulation</t>
    </r>
  </si>
  <si>
    <r>
      <t xml:space="preserve"> </t>
    </r>
    <r>
      <rPr>
        <b/>
        <sz val="11"/>
        <rFont val="Calibri"/>
        <family val="2"/>
        <scheme val="minor"/>
      </rPr>
      <t>4</t>
    </r>
    <r>
      <rPr>
        <sz val="11"/>
        <rFont val="Calibri"/>
        <family val="2"/>
        <scheme val="minor"/>
      </rPr>
      <t xml:space="preserve"> = Multiple agents, complex preparation, logistical questions</t>
    </r>
  </si>
  <si>
    <r>
      <t xml:space="preserve"> </t>
    </r>
    <r>
      <rPr>
        <b/>
        <sz val="11"/>
        <rFont val="Calibri"/>
        <family val="2"/>
        <scheme val="minor"/>
      </rPr>
      <t>5</t>
    </r>
    <r>
      <rPr>
        <sz val="11"/>
        <rFont val="Calibri"/>
        <family val="2"/>
        <scheme val="minor"/>
      </rPr>
      <t xml:space="preserve"> = Requires input to protocol design/language, CMC, etc</t>
    </r>
  </si>
  <si>
    <r>
      <t xml:space="preserve"> (</t>
    </r>
    <r>
      <rPr>
        <b/>
        <sz val="11"/>
        <rFont val="Calibri"/>
        <family val="2"/>
        <scheme val="minor"/>
      </rPr>
      <t>1</t>
    </r>
    <r>
      <rPr>
        <sz val="11"/>
        <rFont val="Calibri"/>
        <family val="2"/>
        <scheme val="minor"/>
      </rPr>
      <t xml:space="preserve"> = up to 5 minutes, </t>
    </r>
    <r>
      <rPr>
        <b/>
        <sz val="11"/>
        <rFont val="Calibri"/>
        <family val="2"/>
        <scheme val="minor"/>
      </rPr>
      <t>2</t>
    </r>
    <r>
      <rPr>
        <sz val="11"/>
        <rFont val="Calibri"/>
        <family val="2"/>
        <scheme val="minor"/>
      </rPr>
      <t xml:space="preserve"> = up to 10 minutes, </t>
    </r>
    <r>
      <rPr>
        <b/>
        <sz val="11"/>
        <rFont val="Calibri"/>
        <family val="2"/>
        <scheme val="minor"/>
      </rPr>
      <t>3</t>
    </r>
    <r>
      <rPr>
        <sz val="11"/>
        <rFont val="Calibri"/>
        <family val="2"/>
        <scheme val="minor"/>
      </rPr>
      <t xml:space="preserve"> = more complex)</t>
    </r>
  </si>
  <si>
    <r>
      <rPr>
        <b/>
        <sz val="11"/>
        <rFont val="Calibri"/>
        <family val="2"/>
        <scheme val="minor"/>
      </rPr>
      <t xml:space="preserve"> 4</t>
    </r>
    <r>
      <rPr>
        <sz val="11"/>
        <rFont val="Calibri"/>
        <family val="2"/>
        <scheme val="minor"/>
      </rPr>
      <t xml:space="preserve"> for C-I, </t>
    </r>
    <r>
      <rPr>
        <b/>
        <sz val="11"/>
        <rFont val="Calibri"/>
        <family val="2"/>
        <scheme val="minor"/>
      </rPr>
      <t>2</t>
    </r>
    <r>
      <rPr>
        <sz val="11"/>
        <rFont val="Calibri"/>
        <family val="2"/>
        <scheme val="minor"/>
      </rPr>
      <t xml:space="preserve"> for C-II, </t>
    </r>
    <r>
      <rPr>
        <b/>
        <sz val="11"/>
        <rFont val="Calibri"/>
        <family val="2"/>
        <scheme val="minor"/>
      </rPr>
      <t>1</t>
    </r>
    <r>
      <rPr>
        <sz val="11"/>
        <rFont val="Calibri"/>
        <family val="2"/>
        <scheme val="minor"/>
      </rPr>
      <t xml:space="preserve"> for C-III or C-IV or C-V, </t>
    </r>
    <r>
      <rPr>
        <b/>
        <sz val="11"/>
        <rFont val="Calibri"/>
        <family val="2"/>
        <scheme val="minor"/>
      </rPr>
      <t>0</t>
    </r>
    <r>
      <rPr>
        <sz val="11"/>
        <rFont val="Calibri"/>
        <family val="2"/>
        <scheme val="minor"/>
      </rPr>
      <t xml:space="preserve"> for non-sched</t>
    </r>
  </si>
  <si>
    <r>
      <rPr>
        <b/>
        <sz val="11"/>
        <rFont val="Calibri"/>
        <family val="2"/>
        <scheme val="minor"/>
      </rPr>
      <t>Enter number of products</t>
    </r>
    <r>
      <rPr>
        <sz val="11"/>
        <rFont val="Calibri"/>
        <family val="2"/>
        <scheme val="minor"/>
      </rPr>
      <t xml:space="preserve"> (1 for one, 2 for two, 3 for three, etc).  Note that active drug and matching placebo = 2; high dose, low dose and placebo = 3; etc.</t>
    </r>
  </si>
  <si>
    <r>
      <rPr>
        <b/>
        <sz val="11"/>
        <rFont val="Calibri"/>
        <family val="2"/>
        <scheme val="minor"/>
      </rPr>
      <t>Yes or No</t>
    </r>
    <r>
      <rPr>
        <sz val="11"/>
        <rFont val="Calibri"/>
        <family val="2"/>
        <scheme val="minor"/>
      </rPr>
      <t>.  The 24/7 requires separate inpatient staff procedures and staff training and setup, plus carrying protocol information when on-call</t>
    </r>
  </si>
  <si>
    <r>
      <rPr>
        <b/>
        <sz val="11"/>
        <rFont val="Calibri"/>
        <family val="2"/>
        <scheme val="minor"/>
      </rPr>
      <t>Enter # of other countries (not sites) involved.</t>
    </r>
    <r>
      <rPr>
        <sz val="11"/>
        <rFont val="Calibri"/>
        <family val="2"/>
        <scheme val="minor"/>
      </rPr>
      <t xml:space="preserve">  Example, if Canadian sites enter (1); if Canada and Mexico, enter (2).  This figure is an allowance for determining import/export requirements but does not include applying for import licenses.  Local PI is typically responsible for that step.</t>
    </r>
  </si>
  <si>
    <t>Compounding</t>
  </si>
  <si>
    <t>Dispensing</t>
  </si>
  <si>
    <t>Sterile Prep - complex</t>
  </si>
  <si>
    <t>Sterile Prep - moderate</t>
  </si>
  <si>
    <t>Sterile Prep - simple</t>
  </si>
  <si>
    <t>Other</t>
  </si>
  <si>
    <t>Bioburden (Colony Count - USP &lt;61/62&gt;)</t>
  </si>
  <si>
    <t>Colony Count (e-Coli / water quality)</t>
  </si>
  <si>
    <t>Deliverable Volume Test (USP &lt;698&gt;)</t>
  </si>
  <si>
    <t>pH of Sample (USP&lt;791&gt;)</t>
  </si>
  <si>
    <t>Sterility Testing (14 Day Incubation, USP&lt;71&gt;)</t>
  </si>
  <si>
    <t>Sterility Testing (Rapid Microbial Assay)</t>
  </si>
  <si>
    <t>Manual Temperature Records</t>
  </si>
  <si>
    <t>March 2017 - Feb 2018 Numbers</t>
  </si>
  <si>
    <t>RATE FY18</t>
  </si>
  <si>
    <t>GROSS</t>
  </si>
  <si>
    <t>NET (not incl labor)</t>
  </si>
  <si>
    <t>RATE FY19</t>
  </si>
  <si>
    <t>ANNUALIZED</t>
  </si>
  <si>
    <t>Bioburden</t>
  </si>
  <si>
    <t>eColi</t>
  </si>
  <si>
    <t>Deliverable Volume</t>
  </si>
  <si>
    <t>Particulates</t>
  </si>
  <si>
    <t>pH</t>
  </si>
  <si>
    <t>Pyrogen</t>
  </si>
  <si>
    <t>Sterility</t>
  </si>
  <si>
    <t>NET (non-labor)</t>
  </si>
  <si>
    <t>Bioburden and eColi Costs:</t>
  </si>
  <si>
    <t>Machine 1600 / (5 x 109) = $3/test</t>
  </si>
  <si>
    <t>Test Kits 275/100 = $3/test (figure $5/test due to waste - short expiry)</t>
  </si>
  <si>
    <t>TOTAL:  $ 8</t>
  </si>
  <si>
    <t>Deliverable Volume:</t>
  </si>
  <si>
    <t>No material costs - labor only</t>
  </si>
  <si>
    <t>Particulates:</t>
  </si>
  <si>
    <t>Light box $125 / (5 x 4) = $6/test</t>
  </si>
  <si>
    <t>pH:</t>
  </si>
  <si>
    <t>Machine $375 / (5 x 42) = $2/test</t>
  </si>
  <si>
    <t>Buffer solutions $30/yr / 42 = $1/test</t>
  </si>
  <si>
    <t>TOTAL: $ 3/test</t>
  </si>
  <si>
    <t>Pyrogen:</t>
  </si>
  <si>
    <t>Machine $8000 / (5 x 47) = $34/test</t>
  </si>
  <si>
    <t>Cartridges $36/test x 1.25  (20% waste) = $45</t>
  </si>
  <si>
    <t>Calibration $500/yr / 47 = $1/test</t>
  </si>
  <si>
    <t>TOTAL: $80/test</t>
  </si>
  <si>
    <t>Sterility:</t>
  </si>
  <si>
    <t>Machine $6k / 4yrs (4 x 373) = $4/test</t>
  </si>
  <si>
    <t>If new machine $16k/5yrs = $9/test</t>
  </si>
  <si>
    <t>Disposables (test bottles, etc) $ 9/test</t>
  </si>
  <si>
    <t>Certification:  $ 350/yr / 373 = $1/test</t>
  </si>
  <si>
    <t>TOTAL:  $14/test (current machine), $19/test (new machine)</t>
  </si>
  <si>
    <t xml:space="preserve">     Coordination with other clinical sites or pharmacies</t>
  </si>
  <si>
    <t># of Agents</t>
  </si>
  <si>
    <t>Monitoring</t>
  </si>
  <si>
    <t>Minimal</t>
  </si>
  <si>
    <t xml:space="preserve">     Enrollment outside IDS hours (7am-530pm M-F, 8am-330pm Sat/Sun)</t>
  </si>
  <si>
    <t xml:space="preserve">     Assistance with protocol language or CMC</t>
  </si>
  <si>
    <t xml:space="preserve">     Dosing outside IDS hours (patients can enroll during regular IDS hours)</t>
  </si>
  <si>
    <t xml:space="preserve">     Attend an off-campus meeting</t>
  </si>
  <si>
    <t xml:space="preserve">     Sponsor requires user training or certifications outside of the SIV</t>
  </si>
  <si>
    <t xml:space="preserve">     Other (explain):</t>
  </si>
  <si>
    <t># of Locations</t>
  </si>
  <si>
    <t>None</t>
  </si>
  <si>
    <t>Simple</t>
  </si>
  <si>
    <t>Advanced</t>
  </si>
  <si>
    <t>Intensive</t>
  </si>
  <si>
    <t>Tier 1</t>
  </si>
  <si>
    <t>Tier 2</t>
  </si>
  <si>
    <t>Routine</t>
  </si>
  <si>
    <t>Tier 3</t>
  </si>
  <si>
    <t>Tier 4</t>
  </si>
  <si>
    <t>Tier 5</t>
  </si>
  <si>
    <t>Tier 6</t>
  </si>
  <si>
    <t>Definition</t>
  </si>
  <si>
    <t>Lab testing for bacterial bioburden (typically for oral or topical preparations)</t>
  </si>
  <si>
    <t>Lab testing for eColi (typically for oral or topical preparations)</t>
  </si>
  <si>
    <t>Official USP test for recoverable volume of a liquid product from filled containers</t>
  </si>
  <si>
    <t>Lab testing - Official USP test for presence of particulates in a solution</t>
  </si>
  <si>
    <t>Lab testing of liquid sample for pH</t>
  </si>
  <si>
    <t>Lab testing - official USP direct inoculation method for growth of microorganisms</t>
  </si>
  <si>
    <t>Lab testing - rapid test for growth of microorganisms</t>
  </si>
  <si>
    <t>Weekly cost, if sponsor requires IDS maintain separate written daily temperature logs (separate from primary system)</t>
  </si>
  <si>
    <t>Category</t>
  </si>
  <si>
    <t>26 Digit Study Account</t>
  </si>
  <si>
    <t>Cnac</t>
  </si>
  <si>
    <t>Org</t>
  </si>
  <si>
    <t>BC</t>
  </si>
  <si>
    <t>Fund</t>
  </si>
  <si>
    <t>Prog</t>
  </si>
  <si>
    <t>Cref</t>
  </si>
  <si>
    <t>Dispensing &amp; Meds</t>
  </si>
  <si>
    <t># of Subjects</t>
  </si>
  <si>
    <t>Enter the number of locations the study is taking place or the number of locations IDS  will store products(ex. at both HUP and PPMC, or IDS storing product product in other locations such as maintaining starter kits in the emergency department)</t>
  </si>
  <si>
    <t>Annual Maintenance</t>
  </si>
  <si>
    <t>Please complete the above table to determine the level of maintenance required. Descriptions for each column are detailed below.</t>
  </si>
  <si>
    <t>Testing</t>
  </si>
  <si>
    <t># of Tests</t>
  </si>
  <si>
    <t>Service Count</t>
  </si>
  <si>
    <t>Rate</t>
  </si>
  <si>
    <t>Price</t>
  </si>
  <si>
    <t>Drugs to be Purchased</t>
  </si>
  <si>
    <t>Type</t>
  </si>
  <si>
    <r>
      <t xml:space="preserve">Service </t>
    </r>
    <r>
      <rPr>
        <b/>
        <i/>
        <sz val="9"/>
        <color rgb="FFFF0000"/>
        <rFont val="Calibri"/>
        <family val="2"/>
        <scheme val="minor"/>
      </rPr>
      <t>(dropdown - refer to list on the right for info)</t>
    </r>
  </si>
  <si>
    <r>
      <t>Dispensing Service</t>
    </r>
    <r>
      <rPr>
        <b/>
        <i/>
        <sz val="11"/>
        <color theme="1"/>
        <rFont val="Calibri"/>
        <family val="2"/>
        <scheme val="minor"/>
      </rPr>
      <t xml:space="preserve"> </t>
    </r>
    <r>
      <rPr>
        <b/>
        <i/>
        <sz val="9"/>
        <color rgb="FFFF0000"/>
        <rFont val="Calibri"/>
        <family val="2"/>
        <scheme val="minor"/>
      </rPr>
      <t>(dropdown - refer to list on the right for info)</t>
    </r>
  </si>
  <si>
    <r>
      <t>Service</t>
    </r>
    <r>
      <rPr>
        <b/>
        <i/>
        <sz val="11"/>
        <color rgb="FFFF0000"/>
        <rFont val="Calibri"/>
        <family val="2"/>
        <scheme val="minor"/>
      </rPr>
      <t xml:space="preserve"> </t>
    </r>
    <r>
      <rPr>
        <b/>
        <i/>
        <sz val="9"/>
        <color rgb="FFFF0000"/>
        <rFont val="Calibri"/>
        <family val="2"/>
        <scheme val="minor"/>
      </rPr>
      <t>(dropdown - refer to list on the right for info)</t>
    </r>
  </si>
  <si>
    <t>Notes/Comments</t>
  </si>
  <si>
    <t>Service Name</t>
  </si>
  <si>
    <t>Amount Per</t>
  </si>
  <si>
    <t>Total Price</t>
  </si>
  <si>
    <t>Price per</t>
  </si>
  <si>
    <t>Please Select Rate Category:</t>
  </si>
  <si>
    <t>Please complete this worksheet as accurately as possible to make sure you receive an accurate estimate!</t>
  </si>
  <si>
    <t>estimate will be prepared and sent to you, based on your input.</t>
  </si>
  <si>
    <t>Protocol Cover Sheet</t>
  </si>
  <si>
    <t>Please complete all sections highlighted in blue. All sections are required.</t>
  </si>
  <si>
    <t>Startup</t>
  </si>
  <si>
    <t>Please complete each section in column B. Refer to the instructions in column D for each section. All sections are</t>
  </si>
  <si>
    <t>required.</t>
  </si>
  <si>
    <t>Maintenance</t>
  </si>
  <si>
    <t>Please complete each cell color-coated in blue. Descriptions for each column are provided.</t>
  </si>
  <si>
    <t>Testing (Laboratory testing such as sterility or drug potency)</t>
  </si>
  <si>
    <t>Please explain what needs to be made below. If a service is not listed under the service dropdown, please describe your request below.</t>
  </si>
  <si>
    <r>
      <t>IDS Service &amp; Medications Worksheet</t>
    </r>
    <r>
      <rPr>
        <b/>
        <i/>
        <u/>
        <sz val="10"/>
        <color theme="1"/>
        <rFont val="Calibri"/>
        <family val="2"/>
        <scheme val="minor"/>
      </rPr>
      <t xml:space="preserve"> </t>
    </r>
    <r>
      <rPr>
        <b/>
        <i/>
        <u/>
        <sz val="10"/>
        <color rgb="FFFF0000"/>
        <rFont val="Calibri"/>
        <family val="2"/>
        <scheme val="minor"/>
      </rPr>
      <t>(Please scroll down thru each section and complete where applicable)</t>
    </r>
  </si>
  <si>
    <t>IDS Purchase (Yes/No)</t>
  </si>
  <si>
    <r>
      <t xml:space="preserve">Protocol Setup Costs </t>
    </r>
    <r>
      <rPr>
        <b/>
        <i/>
        <u/>
        <sz val="10"/>
        <color rgb="FFFF0000"/>
        <rFont val="Calibri"/>
        <family val="2"/>
        <scheme val="minor"/>
      </rPr>
      <t>(Please complete all of column B. Be sure to scroll all the way down)</t>
    </r>
  </si>
  <si>
    <t>Med Name &amp; Dose (ex. Ibuprofen 5mg)</t>
  </si>
  <si>
    <r>
      <t xml:space="preserve">Drug Name &amp; Dose </t>
    </r>
    <r>
      <rPr>
        <b/>
        <i/>
        <sz val="10"/>
        <color rgb="FFFF0000"/>
        <rFont val="Calibri"/>
        <family val="2"/>
        <scheme val="minor"/>
      </rPr>
      <t>(Pulled from Protocol Cover Sheet)</t>
    </r>
  </si>
  <si>
    <r>
      <t xml:space="preserve">Once complete, please email the worksheet to </t>
    </r>
    <r>
      <rPr>
        <b/>
        <u/>
        <sz val="11"/>
        <color theme="4" tint="-0.249977111117893"/>
        <rFont val="Calibri"/>
        <family val="2"/>
        <scheme val="minor"/>
      </rPr>
      <t>IDSBilling@pennmedicine.upenn.edu</t>
    </r>
    <r>
      <rPr>
        <b/>
        <sz val="11"/>
        <color theme="1"/>
        <rFont val="Calibri"/>
        <family val="2"/>
        <scheme val="minor"/>
      </rPr>
      <t>. After it has been reviewed, an</t>
    </r>
  </si>
  <si>
    <t>Prescription Type(IV, Bottle, Tablet etc.)</t>
  </si>
  <si>
    <t># Visits/IP Days Drug Dispensed per Subject</t>
  </si>
  <si>
    <t># of Visits Per Subject</t>
  </si>
  <si>
    <t>Quantity Dispensed per Visit/IP day (If container, enter quantity inside container)</t>
  </si>
  <si>
    <t>Do you want IDS to custom-package any med (blister cards, tamper-evident bottles, etc?) Please explain</t>
  </si>
  <si>
    <t>Random</t>
  </si>
  <si>
    <t>Non-Industry</t>
  </si>
  <si>
    <t>Industry</t>
  </si>
  <si>
    <t>External</t>
  </si>
  <si>
    <t>Bulk Sterile Preparation (per 10 vials)</t>
  </si>
  <si>
    <t>Blister Card (each)</t>
  </si>
  <si>
    <t>Kit Preparation (each)</t>
  </si>
  <si>
    <t>Special preparations (each)</t>
  </si>
  <si>
    <t>Sterile preparation of bulk drug products for distribution to another site</t>
  </si>
  <si>
    <t>Repackaging of capsules or tablets into blister cards.</t>
  </si>
  <si>
    <t>Repackaging of study drug/supplies into kits. Additional supply cost may apply.</t>
  </si>
  <si>
    <t>Solutions, suspensions, ointments, powder packaging and other non-capsule drug manufacturing. Additional supply cost may apply.</t>
  </si>
  <si>
    <t>IVRS Drug Assignment by IDS (Yes/No)</t>
  </si>
  <si>
    <t>IVRS Drug Assignment</t>
  </si>
  <si>
    <t>Particulate Testing (USP &lt;790&gt;)</t>
  </si>
  <si>
    <t>Endotoxin/Pyrogen Testing (USP &lt;85&gt;)</t>
  </si>
  <si>
    <t>HPLC Assay</t>
  </si>
  <si>
    <t>USP compliant lab testing for endotoxins/pyrogens in a solution</t>
  </si>
  <si>
    <t>Lab testing - HPLC potency testing</t>
  </si>
  <si>
    <t>Other (Leave blank if nothing in the dropdown list applies)</t>
  </si>
  <si>
    <t>EDC data entry</t>
  </si>
  <si>
    <t xml:space="preserve">Medications: </t>
  </si>
  <si>
    <t>IDS use only</t>
  </si>
  <si>
    <r>
      <rPr>
        <b/>
        <sz val="11"/>
        <rFont val="Calibri"/>
        <family val="2"/>
        <scheme val="minor"/>
      </rPr>
      <t>Special services</t>
    </r>
    <r>
      <rPr>
        <sz val="11"/>
        <rFont val="Calibri"/>
        <family val="2"/>
        <scheme val="minor"/>
      </rPr>
      <t xml:space="preserve"> (please describe as best as possible, any special service needed, not covered in this worksheet)</t>
    </r>
  </si>
  <si>
    <t>Does the protocol involve inpatients at HUP or inpatients in CHPS?* (If NO: skip following questions)</t>
  </si>
  <si>
    <t>Compounding/Manufacturing (Making capsules, ointments, suspensions, etc.)</t>
  </si>
  <si>
    <t>Complexity Score:</t>
  </si>
  <si>
    <t>Complexity score of 0. Complexity score is calculated based on a number of factors such as the number of steps, calculations, special handling/transport, completion of sponsor worksheets, etc.)</t>
  </si>
  <si>
    <t>Capsules/Tablets?</t>
  </si>
  <si>
    <t>Complexity score between 1-2. Complexity score is calculated based on a number of factors such as the number of steps, calculations, special handling/transport, completion of sponsor worksheets, etc.)</t>
  </si>
  <si>
    <t>Syringe?</t>
  </si>
  <si>
    <t>IV bag?</t>
  </si>
  <si>
    <t>Complexity score between 3-5. Complexity score is calculated based on a number of factors such as the number of steps, calculations, special handling/transport, completion of sponsor worksheets, etc.)</t>
  </si>
  <si>
    <t>Thawing Required?</t>
  </si>
  <si>
    <t>Sterile Prep - very complex</t>
  </si>
  <si>
    <t>Complexity score between 6-9. Complexity score is calculated based on a number of factors such as the number of steps, calculations, special handling/transport, completion of sponsor worksheets, etc.)</t>
  </si>
  <si>
    <t>Sterile Prep - special preparation</t>
  </si>
  <si>
    <t>Complexity score greater than 9. Complexity score is calculated based on a number of factors such as the number of steps, calculations, special handling/transport, completion of sponsor worksheets, etc.)</t>
  </si>
  <si>
    <t>Filtration Required?</t>
  </si>
  <si>
    <t>Blinding of dispensed product(by IDS)?</t>
  </si>
  <si>
    <t>Sponsor worksheets required to be completed by IDS each dispense?</t>
  </si>
  <si>
    <t>Please list all "non-stock" supplies needed below:</t>
  </si>
  <si>
    <t># of subjects</t>
  </si>
  <si>
    <t># of times drug dispensed per subject?</t>
  </si>
  <si>
    <t>Calculations Required?(ie. based on subject weight, etc.)</t>
  </si>
  <si>
    <t>Special Equipment Needed?(Please explain):</t>
  </si>
  <si>
    <t>Special Transport?(ie. Special containers, dry ice, etc., Please explain)</t>
  </si>
  <si>
    <t>If Yes to filtration, how many filtrations required?</t>
  </si>
  <si>
    <t>Stable Isotope Preparation (each) - complex</t>
  </si>
  <si>
    <t>Preparation of stables isotopes: greater than 3 ingredients</t>
  </si>
  <si>
    <t>Make sure to scroll down to see all the sections available.</t>
  </si>
  <si>
    <t>Please complete each section of the form if applicable(Compounding, Testing, Other).</t>
  </si>
  <si>
    <t>Manufacturing-Testing-Other</t>
  </si>
  <si>
    <t>Please complete all questions for each medications listed. Meds are pulled from the "Protocol Cover Sheet" tab.</t>
  </si>
  <si>
    <t>If Yes to "capsules/tablets", how many capsules/tablets dispensed per visit?</t>
  </si>
  <si>
    <t>Stable Isotope Preparation (each)</t>
  </si>
  <si>
    <t>Preparation of stables isotopes</t>
  </si>
  <si>
    <t xml:space="preserve">Do you want IDS to formulate and manufacture any products? </t>
  </si>
  <si>
    <r>
      <rPr>
        <b/>
        <sz val="11"/>
        <color theme="1"/>
        <rFont val="Calibri"/>
        <family val="2"/>
        <scheme val="minor"/>
      </rPr>
      <t>Minimal:</t>
    </r>
    <r>
      <rPr>
        <sz val="11"/>
        <color theme="1"/>
        <rFont val="Calibri"/>
        <family val="2"/>
        <scheme val="minor"/>
      </rPr>
      <t xml:space="preserve"> once/year or less (Ex. Contracting with OCR or an internal monitor to conduct a single monitoring visit as due diligence)</t>
    </r>
  </si>
  <si>
    <r>
      <rPr>
        <b/>
        <sz val="11"/>
        <color theme="1"/>
        <rFont val="Calibri"/>
        <family val="2"/>
        <scheme val="minor"/>
      </rPr>
      <t>Routine:</t>
    </r>
    <r>
      <rPr>
        <sz val="11"/>
        <color theme="1"/>
        <rFont val="Calibri"/>
        <family val="2"/>
        <scheme val="minor"/>
      </rPr>
      <t xml:space="preserve"> typical industry  trial - where study monitor conducts 2-4 monitoring visits per year</t>
    </r>
  </si>
  <si>
    <r>
      <rPr>
        <b/>
        <sz val="11"/>
        <color theme="1"/>
        <rFont val="Calibri"/>
        <family val="2"/>
        <scheme val="minor"/>
      </rPr>
      <t>Intensive:</t>
    </r>
    <r>
      <rPr>
        <sz val="11"/>
        <color theme="1"/>
        <rFont val="Calibri"/>
        <family val="2"/>
        <scheme val="minor"/>
      </rPr>
      <t xml:space="preserve"> frequent visits (such as every 4-6 weeks) or long or extended visits (such as DAIDS/NIADS audits that may span an entire day, every quarter</t>
    </r>
  </si>
  <si>
    <t>Pre-packaged/Unit dose dispense(ie. with no counting or preparation)?</t>
  </si>
  <si>
    <r>
      <rPr>
        <b/>
        <sz val="11"/>
        <color rgb="FFFF0000"/>
        <rFont val="Calibri"/>
        <family val="2"/>
        <scheme val="minor"/>
      </rPr>
      <t>&amp; Manufacturing)</t>
    </r>
    <r>
      <rPr>
        <b/>
        <sz val="11"/>
        <color theme="1"/>
        <rFont val="Calibri"/>
        <family val="2"/>
        <scheme val="minor"/>
      </rPr>
      <t xml:space="preserve">. If you have any questions concerning anything, please contact </t>
    </r>
    <r>
      <rPr>
        <b/>
        <u/>
        <sz val="11"/>
        <color theme="4" tint="-0.249977111117893"/>
        <rFont val="Calibri"/>
        <family val="2"/>
        <scheme val="minor"/>
      </rPr>
      <t>IDSBilling@pennmedicine.upenn.edu</t>
    </r>
    <r>
      <rPr>
        <b/>
        <sz val="11"/>
        <color theme="1"/>
        <rFont val="Calibri"/>
        <family val="2"/>
        <scheme val="minor"/>
      </rPr>
      <t>.</t>
    </r>
  </si>
  <si>
    <t>Will IDS prepare the syringe? (In most cases, IDS must prep, unless it is prefilled or drug stability is less than an hour)</t>
  </si>
  <si>
    <t>Notes/Comments(any information relevant to the dispense that is not asked in this questionnaire):</t>
  </si>
  <si>
    <t>Gene/Cell Therapy or Vector(ex. Viral)?</t>
  </si>
  <si>
    <t>Dilution/Reconstitution Required?</t>
  </si>
  <si>
    <t>If Yes to dilution/reconstitutions, how many required?</t>
  </si>
  <si>
    <t>Will IDS need to work with IVRS/IRT/IWRS system to dispense medication?</t>
  </si>
  <si>
    <t>Enter the # of agents that IDS will be responsible for managing and maintaining. Different strengths of drug should be added separately. (ie. Ibuprofin 200mg, and 600mg would equal 2)</t>
  </si>
  <si>
    <t>IVRS for Tracking Shipments/Inventory?</t>
  </si>
  <si>
    <t>IVRS for Tracking Shipments/Inventory</t>
  </si>
  <si>
    <t>If a sponsor system/application must be used to track shipments/inventory, please select "Yes".</t>
  </si>
  <si>
    <t>Do you require assistance with pharmacy manual language (how many hours)?</t>
  </si>
  <si>
    <t>Does the protocol require 24/7 access for enrollment and dosing?</t>
  </si>
  <si>
    <t>Does the protocol permit dosing ONLY during weekday hours?</t>
  </si>
  <si>
    <r>
      <rPr>
        <b/>
        <sz val="11"/>
        <rFont val="Calibri"/>
        <family val="2"/>
        <scheme val="minor"/>
      </rPr>
      <t xml:space="preserve"> 2</t>
    </r>
    <r>
      <rPr>
        <sz val="11"/>
        <rFont val="Calibri"/>
        <family val="2"/>
        <scheme val="minor"/>
      </rPr>
      <t xml:space="preserve"> = 1-2 agents with little to no preparation involved</t>
    </r>
  </si>
  <si>
    <r>
      <rPr>
        <b/>
        <sz val="11"/>
        <rFont val="Calibri"/>
        <family val="2"/>
        <scheme val="minor"/>
      </rPr>
      <t xml:space="preserve"> 3</t>
    </r>
    <r>
      <rPr>
        <sz val="11"/>
        <rFont val="Calibri"/>
        <family val="2"/>
        <scheme val="minor"/>
      </rPr>
      <t xml:space="preserve"> = More than 2 agents or sterile preparation needed</t>
    </r>
  </si>
  <si>
    <t>Variable - hourly.  Need to see existing pharmacy manual draft and how much is left to fill in.  Typically between 2h (for 1-2 pages) to 4h.</t>
  </si>
  <si>
    <r>
      <rPr>
        <b/>
        <sz val="10"/>
        <color theme="1"/>
        <rFont val="Calibri"/>
        <family val="2"/>
        <scheme val="minor"/>
      </rPr>
      <t>IDS CENTRAL:</t>
    </r>
    <r>
      <rPr>
        <sz val="10"/>
        <color theme="1"/>
        <rFont val="Calibri"/>
        <family val="2"/>
        <scheme val="minor"/>
      </rPr>
      <t xml:space="preserve">  3600 Civic Center Blvd / 10</t>
    </r>
    <r>
      <rPr>
        <vertAlign val="superscript"/>
        <sz val="10"/>
        <color theme="1"/>
        <rFont val="Calibri"/>
        <family val="2"/>
        <scheme val="minor"/>
      </rPr>
      <t>th</t>
    </r>
    <r>
      <rPr>
        <sz val="10"/>
        <color theme="1"/>
        <rFont val="Calibri"/>
        <family val="2"/>
        <scheme val="minor"/>
      </rPr>
      <t xml:space="preserve"> Floor / Philadelphia, PA 19104 / 215-662-7911 / fax 215-615-1308</t>
    </r>
  </si>
  <si>
    <r>
      <rPr>
        <b/>
        <sz val="10"/>
        <color theme="1"/>
        <rFont val="Calibri"/>
        <family val="2"/>
        <scheme val="minor"/>
      </rPr>
      <t>IDS NORTH:</t>
    </r>
    <r>
      <rPr>
        <sz val="10"/>
        <color theme="1"/>
        <rFont val="Calibri"/>
        <family val="2"/>
        <scheme val="minor"/>
      </rPr>
      <t xml:space="preserve">  51 N 39</t>
    </r>
    <r>
      <rPr>
        <vertAlign val="superscript"/>
        <sz val="10"/>
        <color theme="1"/>
        <rFont val="Calibri"/>
        <family val="2"/>
        <scheme val="minor"/>
      </rPr>
      <t>th</t>
    </r>
    <r>
      <rPr>
        <sz val="10"/>
        <color theme="1"/>
        <rFont val="Calibri"/>
        <family val="2"/>
        <scheme val="minor"/>
      </rPr>
      <t xml:space="preserve"> St / 103 Mutch Bldg / Philadelphia, PA 19104 / 215-662-9995 / fax 215-243-4645</t>
    </r>
  </si>
  <si>
    <r>
      <rPr>
        <b/>
        <sz val="10"/>
        <color theme="1"/>
        <rFont val="Calibri"/>
        <family val="2"/>
        <scheme val="minor"/>
      </rPr>
      <t>IDS SMILOW:</t>
    </r>
    <r>
      <rPr>
        <sz val="10"/>
        <color theme="1"/>
        <rFont val="Calibri"/>
        <family val="2"/>
        <scheme val="minor"/>
      </rPr>
      <t xml:space="preserve">  3400 Civic Center Blvd / Room 161 / Philadelphia, PA 19104 / 215-662-3342 / fax 215-349-5132</t>
    </r>
  </si>
  <si>
    <r>
      <t xml:space="preserve">     </t>
    </r>
    <r>
      <rPr>
        <b/>
        <sz val="10"/>
        <color theme="1"/>
        <rFont val="Constantia"/>
        <family val="1"/>
      </rPr>
      <t xml:space="preserve">   </t>
    </r>
    <r>
      <rPr>
        <b/>
        <sz val="9.5"/>
        <color theme="1"/>
        <rFont val="Constantia"/>
        <family val="1"/>
      </rPr>
      <t>Investigational Drug Service - University of Pennsylvania – Perelman School of Medicine</t>
    </r>
  </si>
  <si>
    <t>Is the medication commercially available?</t>
  </si>
  <si>
    <t>Determination</t>
  </si>
  <si>
    <t>Is accountability required by sponsor?</t>
  </si>
  <si>
    <t>Medication List will pull from "Medications" tab. Please be sure to answer all questions on that tab for each medication listed.</t>
  </si>
  <si>
    <t>Medication List</t>
  </si>
  <si>
    <t>Will medication be provided by sponsor?</t>
  </si>
  <si>
    <t>Sponsor Provided? (Yes/No)</t>
  </si>
  <si>
    <t>Please list all medications to be dispensed. If you know for sure IDS will not dispense the medication(ex. SOC med), you do not have to list it. This questionnaire will help determine if a medication will need to be dispensed by IDS. Please be sure to answer all questions.</t>
  </si>
  <si>
    <t>Please answer questions for each drug listed. You may skip any question that does not apply. Meds will pull "Medications" tab.</t>
  </si>
  <si>
    <t>Please list all medications to be dispensed per the protocol, and answer all questions for each medication.</t>
  </si>
  <si>
    <t>Medications</t>
  </si>
  <si>
    <t>Will multiple containers(ie. bottles, vials, etc.) be dispensed?</t>
  </si>
  <si>
    <t>Research build</t>
  </si>
  <si>
    <t>- Please complete the 6 tabs color-coated in blue(Protocol Cover Sheet, Medications, Startup, Maintenance, Dispensing</t>
  </si>
  <si>
    <t>(Ver11 Jul2023)</t>
  </si>
  <si>
    <t>Rx - Simple</t>
  </si>
  <si>
    <t>Rx - Moderate</t>
  </si>
  <si>
    <t>Rx - Complex</t>
  </si>
  <si>
    <t>Rx - Very Complex</t>
  </si>
  <si>
    <t>Complexity score greater than 2-3. Complexity score is calculated based on a number of factors such as the number of steps, calculations, special handling/transport, completion of sponsor worksheets, etc.)</t>
  </si>
  <si>
    <t>Complexity score greater than 4. Complexity score is calculated based on a number of factors such as the number of steps, calculations, special handling/transport, completion of sponsor worksheets, etc.)</t>
  </si>
  <si>
    <t>Capsule Manufacturing (per 300 caps) -- simple</t>
  </si>
  <si>
    <t>Capsule Manufacturing (per 300 caps) -- complex</t>
  </si>
  <si>
    <t>Capsules precision-weighed on Mettler Quantos (per 250)</t>
  </si>
  <si>
    <t>Manufacture of gelatin capsules - simple powder fill or a drug tablet or capsule inside an opaque shell.  Costs include materials and labor except for the drug itself. (per 300 minimum)</t>
  </si>
  <si>
    <t>Manufacture of gelatin capsules - specific amount of powder mixture inside a capsule; requires weight checks.  Costs include materials and labor except for the drug itself.(minimum of 300)</t>
  </si>
  <si>
    <t>Capsules individually weighed to within under 1mg accuracy (per 250 minimum).</t>
  </si>
  <si>
    <t>Data entry in EDC/sponsor system – study drug dispensing, patient returns, drug destruction (per event)</t>
  </si>
  <si>
    <t>Supplies to be Purchased</t>
  </si>
  <si>
    <r>
      <t xml:space="preserve">*** </t>
    </r>
    <r>
      <rPr>
        <b/>
        <i/>
        <sz val="11"/>
        <color theme="1"/>
        <rFont val="Calibri"/>
        <family val="2"/>
        <scheme val="minor"/>
      </rPr>
      <t>Please enter the price for each drug</t>
    </r>
    <r>
      <rPr>
        <b/>
        <sz val="11"/>
        <color theme="1"/>
        <rFont val="Calibri"/>
        <family val="2"/>
        <scheme val="minor"/>
      </rPr>
      <t>/supply</t>
    </r>
  </si>
  <si>
    <t>Appearance</t>
  </si>
  <si>
    <t>Method Validation</t>
  </si>
  <si>
    <t>Visual inspection to ensure free of inappropriate visible particles, foreign matter, discoloration, or other defects</t>
  </si>
  <si>
    <t>USP &lt;71&gt; method suitability test to validate sterility results for new product preparation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</si>
</sst>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
  </numFmts>
  <fonts count="63"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1"/>
      <color theme="1"/>
      <name val="Constantia"/>
      <family val="1"/>
    </font>
    <font>
      <sz val="10"/>
      <color theme="1"/>
      <name val="Constantia"/>
      <family val="1"/>
    </font>
    <font>
      <sz val="10"/>
      <color rgb="FFFF0000"/>
      <name val="Constantia"/>
      <family val="1"/>
    </font>
    <font>
      <sz val="1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i/>
      <u/>
      <sz val="12"/>
      <color theme="1"/>
      <name val="Calibri"/>
      <family val="2"/>
      <scheme val="minor"/>
    </font>
    <font>
      <sz val="11"/>
      <color theme="10"/>
      <name val="Calibri"/>
      <family val="2"/>
      <scheme val="minor"/>
    </font>
    <font>
      <sz val="10"/>
      <color theme="1"/>
      <name val="Calibri"/>
      <family val="2"/>
      <scheme val="minor"/>
    </font>
    <font>
      <sz val="9"/>
      <color theme="1"/>
      <name val="Calibri"/>
      <family val="2"/>
      <scheme val="minor"/>
    </font>
    <font>
      <b/>
      <sz val="14"/>
      <name val="Calibri"/>
      <family val="2"/>
      <scheme val="minor"/>
    </font>
    <font>
      <b/>
      <sz val="11"/>
      <name val="Calibri"/>
      <family val="2"/>
      <scheme val="minor"/>
    </font>
    <font>
      <sz val="14"/>
      <name val="Calibri"/>
      <family val="2"/>
      <scheme val="minor"/>
    </font>
    <font>
      <b/>
      <sz val="12"/>
      <name val="Calibri"/>
      <family val="2"/>
      <scheme val="minor"/>
    </font>
    <font>
      <sz val="12"/>
      <name val="Calibri"/>
      <family val="2"/>
      <scheme val="minor"/>
    </font>
    <font>
      <b/>
      <i/>
      <sz val="12"/>
      <name val="Calibri"/>
      <family val="2"/>
      <scheme val="minor"/>
    </font>
    <font>
      <b/>
      <sz val="16"/>
      <name val="Calibri"/>
      <family val="2"/>
      <scheme val="minor"/>
    </font>
    <font>
      <b/>
      <sz val="9"/>
      <color theme="1"/>
      <name val="Calibri"/>
      <family val="2"/>
      <scheme val="minor"/>
    </font>
    <font>
      <b/>
      <sz val="11"/>
      <color rgb="FFFF0000"/>
      <name val="Calibri"/>
      <family val="2"/>
      <scheme val="minor"/>
    </font>
    <font>
      <sz val="12"/>
      <color theme="1"/>
      <name val="Calibri"/>
      <family val="2"/>
      <scheme val="minor"/>
    </font>
    <font>
      <b/>
      <u/>
      <sz val="14"/>
      <color theme="1"/>
      <name val="Calibri"/>
      <family val="2"/>
      <scheme val="minor"/>
    </font>
    <font>
      <b/>
      <sz val="10"/>
      <color theme="1"/>
      <name val="Calibri"/>
      <family val="2"/>
      <scheme val="minor"/>
    </font>
    <font>
      <b/>
      <i/>
      <sz val="11"/>
      <color rgb="FFFF0000"/>
      <name val="Calibri"/>
      <family val="2"/>
      <scheme val="minor"/>
    </font>
    <font>
      <i/>
      <sz val="11"/>
      <color rgb="FFFF0000"/>
      <name val="Calibri"/>
      <family val="2"/>
      <scheme val="minor"/>
    </font>
    <font>
      <b/>
      <sz val="11"/>
      <color theme="5" tint="-0.499984740745262"/>
      <name val="Calibri"/>
      <family val="2"/>
      <scheme val="minor"/>
    </font>
    <font>
      <b/>
      <u/>
      <sz val="12"/>
      <color theme="5" tint="-0.499984740745262"/>
      <name val="Calibri"/>
      <family val="2"/>
      <scheme val="minor"/>
    </font>
    <font>
      <b/>
      <i/>
      <u/>
      <sz val="10"/>
      <color theme="1"/>
      <name val="Calibri"/>
      <family val="2"/>
      <scheme val="minor"/>
    </font>
    <font>
      <b/>
      <i/>
      <sz val="9"/>
      <color rgb="FFFF0000"/>
      <name val="Calibri"/>
      <family val="2"/>
      <scheme val="minor"/>
    </font>
    <font>
      <b/>
      <i/>
      <u/>
      <sz val="10"/>
      <color rgb="FFFF0000"/>
      <name val="Calibri"/>
      <family val="2"/>
      <scheme val="minor"/>
    </font>
    <font>
      <b/>
      <u/>
      <sz val="14"/>
      <name val="Calibri"/>
      <family val="2"/>
      <scheme val="minor"/>
    </font>
    <font>
      <u/>
      <sz val="11"/>
      <color theme="1"/>
      <name val="Calibri"/>
      <family val="2"/>
      <scheme val="minor"/>
    </font>
    <font>
      <b/>
      <i/>
      <sz val="11"/>
      <color theme="1"/>
      <name val="Calibri"/>
      <family val="2"/>
      <scheme val="minor"/>
    </font>
    <font>
      <b/>
      <u/>
      <sz val="11"/>
      <color theme="4" tint="-0.249977111117893"/>
      <name val="Calibri"/>
      <family val="2"/>
      <scheme val="minor"/>
    </font>
    <font>
      <b/>
      <i/>
      <u/>
      <sz val="11"/>
      <color theme="1"/>
      <name val="Calibri"/>
      <family val="2"/>
      <scheme val="minor"/>
    </font>
    <font>
      <b/>
      <sz val="8"/>
      <color theme="1"/>
      <name val="Calibri"/>
      <family val="2"/>
      <scheme val="minor"/>
    </font>
    <font>
      <b/>
      <i/>
      <sz val="18"/>
      <color theme="1"/>
      <name val="Arial"/>
      <family val="2"/>
    </font>
    <font>
      <sz val="11"/>
      <color theme="1"/>
      <name val="Arial"/>
      <family val="2"/>
    </font>
    <font>
      <b/>
      <i/>
      <sz val="10"/>
      <color rgb="FFFF0000"/>
      <name val="Calibri"/>
      <family val="2"/>
      <scheme val="minor"/>
    </font>
    <font>
      <sz val="8"/>
      <color rgb="FF000000"/>
      <name val="Segoe UI"/>
      <family val="2"/>
    </font>
    <font>
      <sz val="11"/>
      <color theme="0"/>
      <name val="Calibri"/>
      <family val="2"/>
      <scheme val="minor"/>
    </font>
    <font>
      <sz val="9"/>
      <name val="Calibri"/>
      <family val="2"/>
      <scheme val="minor"/>
    </font>
    <font>
      <b/>
      <i/>
      <sz val="12"/>
      <color rgb="FFFF0000"/>
      <name val="Calibri"/>
      <family val="2"/>
      <scheme val="minor"/>
    </font>
    <font>
      <b/>
      <i/>
      <u/>
      <sz val="14"/>
      <color rgb="FFFF0000"/>
      <name val="Calibri"/>
      <family val="2"/>
      <scheme val="minor"/>
    </font>
    <font>
      <b/>
      <i/>
      <sz val="10"/>
      <color theme="1"/>
      <name val="Calibri"/>
      <family val="2"/>
      <scheme val="minor"/>
    </font>
    <font>
      <sz val="11"/>
      <color theme="0" tint="-4.9989318521683403E-2"/>
      <name val="Calibri"/>
      <family val="2"/>
      <scheme val="minor"/>
    </font>
    <font>
      <b/>
      <i/>
      <sz val="8.5"/>
      <color rgb="FFFF0000"/>
      <name val="Calibri"/>
      <family val="2"/>
      <scheme val="minor"/>
    </font>
    <font>
      <b/>
      <i/>
      <sz val="9"/>
      <color theme="1"/>
      <name val="Calibri"/>
      <family val="2"/>
      <scheme val="minor"/>
    </font>
    <font>
      <b/>
      <sz val="10.5"/>
      <color theme="1"/>
      <name val="Calibri"/>
      <family val="2"/>
      <scheme val="minor"/>
    </font>
    <font>
      <sz val="10.5"/>
      <color theme="1"/>
      <name val="Calibri"/>
      <family val="2"/>
      <scheme val="minor"/>
    </font>
    <font>
      <sz val="8"/>
      <name val="Calibri"/>
      <family val="2"/>
      <scheme val="minor"/>
    </font>
    <font>
      <b/>
      <i/>
      <sz val="9.5"/>
      <color theme="1"/>
      <name val="Calibri"/>
      <family val="2"/>
      <scheme val="minor"/>
    </font>
    <font>
      <b/>
      <sz val="9.5"/>
      <color theme="1"/>
      <name val="Calibri"/>
      <family val="2"/>
      <scheme val="minor"/>
    </font>
    <font>
      <b/>
      <sz val="10"/>
      <color theme="1"/>
      <name val="Constantia"/>
      <family val="1"/>
    </font>
    <font>
      <vertAlign val="superscript"/>
      <sz val="10"/>
      <color theme="1"/>
      <name val="Calibri"/>
      <family val="2"/>
      <scheme val="minor"/>
    </font>
    <font>
      <b/>
      <sz val="9.5"/>
      <color theme="1"/>
      <name val="Constantia"/>
      <family val="1"/>
    </font>
    <font>
      <i/>
      <sz val="12"/>
      <color theme="1"/>
      <name val="Calibri"/>
      <family val="2"/>
      <scheme val="minor"/>
    </font>
    <font>
      <sz val="10"/>
      <color theme="9"/>
      <name val="Calibri"/>
      <family val="2"/>
      <scheme val="minor"/>
    </font>
  </fonts>
  <fills count="22">
    <fill>
      <patternFill patternType="none"/>
    </fill>
    <fill>
      <patternFill patternType="gray125"/>
    </fill>
    <fill>
      <patternFill patternType="solid">
        <fgColor rgb="FFF2F2F2"/>
      </patternFill>
    </fill>
    <fill>
      <patternFill patternType="solid">
        <fgColor rgb="FFF2F2F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92D050"/>
        <bgColor indexed="64"/>
      </patternFill>
    </fill>
    <fill>
      <patternFill patternType="solid">
        <fgColor rgb="FFFF7C80"/>
        <bgColor indexed="64"/>
      </patternFill>
    </fill>
    <fill>
      <patternFill patternType="solid">
        <fgColor theme="4" tint="0.59999389629810485"/>
        <bgColor indexed="64"/>
      </patternFill>
    </fill>
  </fills>
  <borders count="59">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top/>
      <bottom style="thin">
        <color indexed="64"/>
      </bottom>
      <diagonal/>
    </border>
    <border>
      <left style="thin">
        <color rgb="FF3F3F3F"/>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rgb="FF3F3F3F"/>
      </left>
      <right/>
      <top style="thin">
        <color indexed="64"/>
      </top>
      <bottom style="medium">
        <color indexed="64"/>
      </bottom>
      <diagonal/>
    </border>
    <border>
      <left style="thin">
        <color rgb="FF3F3F3F"/>
      </left>
      <right style="thin">
        <color rgb="FF3F3F3F"/>
      </right>
      <top style="thin">
        <color indexed="64"/>
      </top>
      <bottom style="medium">
        <color indexed="64"/>
      </bottom>
      <diagonal/>
    </border>
    <border>
      <left style="thin">
        <color rgb="FF3F3F3F"/>
      </left>
      <right/>
      <top/>
      <bottom/>
      <diagonal/>
    </border>
    <border>
      <left style="thin">
        <color rgb="FF3F3F3F"/>
      </left>
      <right style="thin">
        <color rgb="FF3F3F3F"/>
      </right>
      <top style="medium">
        <color indexed="64"/>
      </top>
      <bottom/>
      <diagonal/>
    </border>
    <border>
      <left style="medium">
        <color theme="0"/>
      </left>
      <right/>
      <top style="medium">
        <color theme="0"/>
      </top>
      <bottom style="medium">
        <color theme="0"/>
      </bottom>
      <diagonal/>
    </border>
    <border>
      <left/>
      <right style="medium">
        <color theme="0"/>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thin">
        <color rgb="FF3F3F3F"/>
      </left>
      <right/>
      <top style="thin">
        <color rgb="FF3F3F3F"/>
      </top>
      <bottom style="thin">
        <color rgb="FF3F3F3F"/>
      </bottom>
      <diagonal/>
    </border>
    <border>
      <left style="thin">
        <color rgb="FF3F3F3F"/>
      </left>
      <right/>
      <top style="thin">
        <color indexed="64"/>
      </top>
      <bottom/>
      <diagonal/>
    </border>
    <border>
      <left style="thin">
        <color rgb="FF3F3F3F"/>
      </left>
      <right/>
      <top style="thin">
        <color rgb="FF3F3F3F"/>
      </top>
      <bottom/>
      <diagonal/>
    </border>
    <border>
      <left style="thin">
        <color rgb="FF3F3F3F"/>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theme="0"/>
      </left>
      <right style="thin">
        <color indexed="64"/>
      </right>
      <top/>
      <bottom/>
      <diagonal/>
    </border>
  </borders>
  <cellStyleXfs count="4">
    <xf numFmtId="0" fontId="0" fillId="0" borderId="0"/>
    <xf numFmtId="44" fontId="1" fillId="0" borderId="0" applyFont="0" applyFill="0" applyBorder="0" applyAlignment="0" applyProtection="0"/>
    <xf numFmtId="0" fontId="2" fillId="2" borderId="1" applyNumberFormat="0" applyAlignment="0" applyProtection="0"/>
    <xf numFmtId="0" fontId="8" fillId="0" borderId="0" applyNumberFormat="0" applyFill="0" applyBorder="0" applyAlignment="0" applyProtection="0"/>
  </cellStyleXfs>
  <cellXfs count="625">
    <xf numFmtId="0" fontId="0" fillId="0" borderId="0" xfId="0"/>
    <xf numFmtId="0" fontId="0" fillId="0" borderId="0" xfId="0" applyAlignment="1">
      <alignment vertical="center" wrapText="1"/>
    </xf>
    <xf numFmtId="0" fontId="0" fillId="0" borderId="0" xfId="0" applyAlignment="1">
      <alignment horizontal="center" vertical="center"/>
    </xf>
    <xf numFmtId="0" fontId="0" fillId="9" borderId="0" xfId="0" applyFill="1"/>
    <xf numFmtId="0" fontId="8" fillId="9" borderId="0" xfId="3" applyFill="1" applyAlignment="1">
      <alignment vertical="top"/>
    </xf>
    <xf numFmtId="0" fontId="0" fillId="9" borderId="0" xfId="0" applyFill="1" applyAlignment="1">
      <alignment vertical="top"/>
    </xf>
    <xf numFmtId="0" fontId="12" fillId="9" borderId="0" xfId="0" applyFont="1" applyFill="1"/>
    <xf numFmtId="0" fontId="0" fillId="0" borderId="0" xfId="0" applyFill="1"/>
    <xf numFmtId="0" fontId="0" fillId="0" borderId="0" xfId="0" applyAlignment="1">
      <alignment vertical="center"/>
    </xf>
    <xf numFmtId="0" fontId="0" fillId="0" borderId="0" xfId="0" applyAlignment="1">
      <alignment horizontal="center"/>
    </xf>
    <xf numFmtId="0" fontId="0" fillId="6" borderId="0" xfId="0" applyFill="1"/>
    <xf numFmtId="0" fontId="3" fillId="0" borderId="0" xfId="0" applyFont="1" applyAlignment="1">
      <alignment horizontal="center"/>
    </xf>
    <xf numFmtId="0" fontId="0" fillId="0" borderId="0" xfId="0" applyBorder="1"/>
    <xf numFmtId="0" fontId="7" fillId="0" borderId="0" xfId="0" applyFont="1"/>
    <xf numFmtId="0" fontId="7" fillId="0" borderId="0" xfId="0" applyFont="1" applyAlignment="1">
      <alignment wrapText="1"/>
    </xf>
    <xf numFmtId="44" fontId="7" fillId="0" borderId="0" xfId="1" applyFont="1" applyAlignment="1">
      <alignment horizontal="center"/>
    </xf>
    <xf numFmtId="0" fontId="7" fillId="4" borderId="0" xfId="0" applyFont="1" applyFill="1" applyAlignment="1">
      <alignment wrapText="1"/>
    </xf>
    <xf numFmtId="0" fontId="19" fillId="11" borderId="0" xfId="0" applyFont="1" applyFill="1" applyAlignment="1">
      <alignment wrapText="1"/>
    </xf>
    <xf numFmtId="44" fontId="20" fillId="0" borderId="0" xfId="1" applyFont="1" applyAlignment="1">
      <alignment horizontal="center"/>
    </xf>
    <xf numFmtId="0" fontId="20" fillId="0" borderId="0" xfId="0" applyFont="1" applyAlignment="1">
      <alignment wrapText="1"/>
    </xf>
    <xf numFmtId="0" fontId="21" fillId="11" borderId="0" xfId="0" applyFont="1" applyFill="1" applyAlignment="1">
      <alignment wrapText="1"/>
    </xf>
    <xf numFmtId="44" fontId="22" fillId="5" borderId="0" xfId="1" applyFont="1" applyFill="1" applyBorder="1" applyAlignment="1">
      <alignment horizontal="center" wrapText="1"/>
    </xf>
    <xf numFmtId="0" fontId="7" fillId="0" borderId="0" xfId="0" applyFont="1" applyAlignment="1">
      <alignment horizontal="center"/>
    </xf>
    <xf numFmtId="0" fontId="19" fillId="11" borderId="0" xfId="0" applyFont="1" applyFill="1" applyAlignment="1">
      <alignment horizontal="center"/>
    </xf>
    <xf numFmtId="44" fontId="19" fillId="11" borderId="0" xfId="1" applyFont="1" applyFill="1" applyAlignment="1">
      <alignment horizontal="center"/>
    </xf>
    <xf numFmtId="0" fontId="24" fillId="0" borderId="0" xfId="0" applyFont="1"/>
    <xf numFmtId="44" fontId="0" fillId="0" borderId="0" xfId="1" applyFont="1"/>
    <xf numFmtId="0" fontId="0" fillId="0" borderId="0" xfId="0" applyAlignment="1">
      <alignment wrapText="1"/>
    </xf>
    <xf numFmtId="44" fontId="0" fillId="0" borderId="0" xfId="0" applyNumberFormat="1"/>
    <xf numFmtId="44" fontId="0" fillId="11" borderId="0" xfId="1" applyFont="1" applyFill="1"/>
    <xf numFmtId="44" fontId="0" fillId="6" borderId="0" xfId="1" applyFont="1" applyFill="1"/>
    <xf numFmtId="0" fontId="0" fillId="0" borderId="0" xfId="0" applyAlignment="1">
      <alignment horizontal="center" wrapText="1"/>
    </xf>
    <xf numFmtId="0" fontId="0" fillId="0" borderId="0" xfId="0" applyAlignment="1">
      <alignment horizontal="center" vertical="center" wrapText="1"/>
    </xf>
    <xf numFmtId="0" fontId="0" fillId="10" borderId="0" xfId="0" applyFill="1"/>
    <xf numFmtId="0" fontId="0" fillId="10" borderId="0" xfId="0" applyFill="1" applyAlignment="1">
      <alignment wrapText="1"/>
    </xf>
    <xf numFmtId="0" fontId="0" fillId="10" borderId="0" xfId="0" applyFill="1" applyAlignment="1">
      <alignment horizontal="center" vertical="center"/>
    </xf>
    <xf numFmtId="0" fontId="3" fillId="0" borderId="0" xfId="0" applyFont="1" applyAlignment="1">
      <alignment horizontal="center" vertical="center" wrapText="1"/>
    </xf>
    <xf numFmtId="44" fontId="0" fillId="0" borderId="0" xfId="1" applyFont="1" applyAlignment="1">
      <alignment horizontal="center" vertical="center"/>
    </xf>
    <xf numFmtId="0" fontId="0" fillId="0" borderId="23" xfId="0" applyBorder="1" applyAlignment="1">
      <alignment horizontal="center"/>
    </xf>
    <xf numFmtId="0" fontId="3" fillId="0" borderId="0" xfId="0" applyFont="1" applyFill="1" applyAlignment="1">
      <alignment horizontal="center" wrapText="1"/>
    </xf>
    <xf numFmtId="0" fontId="0" fillId="0" borderId="16" xfId="0" applyBorder="1" applyAlignment="1">
      <alignment horizontal="center"/>
    </xf>
    <xf numFmtId="0" fontId="0" fillId="0" borderId="0" xfId="0" applyFill="1" applyAlignment="1">
      <alignment wrapText="1"/>
    </xf>
    <xf numFmtId="0" fontId="0" fillId="0" borderId="0" xfId="0" applyFill="1" applyAlignment="1">
      <alignment horizontal="center" vertical="center"/>
    </xf>
    <xf numFmtId="44" fontId="0" fillId="0" borderId="0" xfId="1" applyFont="1" applyFill="1"/>
    <xf numFmtId="0" fontId="0" fillId="0" borderId="0" xfId="0" applyAlignment="1">
      <alignment horizontal="center"/>
    </xf>
    <xf numFmtId="0" fontId="0" fillId="9" borderId="0" xfId="0" applyFill="1" applyAlignment="1">
      <alignment horizontal="center" vertical="center"/>
    </xf>
    <xf numFmtId="0" fontId="0" fillId="9" borderId="0" xfId="0" applyFill="1" applyAlignment="1">
      <alignment horizontal="center" vertical="center" wrapText="1"/>
    </xf>
    <xf numFmtId="0" fontId="0" fillId="9" borderId="29" xfId="0" applyFill="1" applyBorder="1" applyAlignment="1">
      <alignment horizontal="center" vertical="center" wrapText="1"/>
    </xf>
    <xf numFmtId="44" fontId="0" fillId="9" borderId="0" xfId="1" applyFont="1" applyFill="1"/>
    <xf numFmtId="0" fontId="30" fillId="7" borderId="5" xfId="0" applyFont="1" applyFill="1" applyBorder="1" applyAlignment="1">
      <alignment horizontal="center"/>
    </xf>
    <xf numFmtId="0" fontId="30" fillId="7" borderId="5" xfId="0" applyFont="1" applyFill="1" applyBorder="1" applyAlignment="1">
      <alignment horizontal="center" wrapText="1"/>
    </xf>
    <xf numFmtId="0" fontId="31" fillId="9" borderId="0" xfId="0" applyFont="1" applyFill="1" applyAlignment="1">
      <alignment horizontal="left"/>
    </xf>
    <xf numFmtId="0" fontId="31" fillId="9" borderId="0" xfId="0" applyFont="1" applyFill="1"/>
    <xf numFmtId="0" fontId="7" fillId="6" borderId="1" xfId="2" applyFont="1" applyFill="1" applyAlignment="1">
      <alignment wrapText="1"/>
    </xf>
    <xf numFmtId="0" fontId="7" fillId="6" borderId="1" xfId="2" applyFont="1" applyFill="1" applyAlignment="1"/>
    <xf numFmtId="0" fontId="7" fillId="6" borderId="0" xfId="0" applyFont="1" applyFill="1" applyAlignment="1">
      <alignment wrapText="1"/>
    </xf>
    <xf numFmtId="0" fontId="7" fillId="6" borderId="20" xfId="0" applyFont="1" applyFill="1" applyBorder="1" applyAlignment="1">
      <alignment wrapText="1"/>
    </xf>
    <xf numFmtId="0" fontId="7" fillId="6" borderId="21" xfId="0" applyFont="1" applyFill="1" applyBorder="1" applyAlignment="1">
      <alignment wrapText="1"/>
    </xf>
    <xf numFmtId="0" fontId="17" fillId="6" borderId="21" xfId="0" applyFont="1" applyFill="1" applyBorder="1" applyAlignment="1">
      <alignment wrapText="1"/>
    </xf>
    <xf numFmtId="0" fontId="17" fillId="6" borderId="20" xfId="0" applyFont="1" applyFill="1" applyBorder="1" applyAlignment="1">
      <alignment wrapText="1"/>
    </xf>
    <xf numFmtId="44" fontId="17" fillId="7" borderId="31" xfId="1" applyFont="1" applyFill="1" applyBorder="1" applyAlignment="1">
      <alignment horizontal="center"/>
    </xf>
    <xf numFmtId="0" fontId="7" fillId="9" borderId="0" xfId="0" applyFont="1" applyFill="1" applyAlignment="1">
      <alignment wrapText="1"/>
    </xf>
    <xf numFmtId="0" fontId="7" fillId="9" borderId="0" xfId="0" applyFont="1" applyFill="1" applyAlignment="1">
      <alignment horizontal="center"/>
    </xf>
    <xf numFmtId="44" fontId="7" fillId="9" borderId="0" xfId="1" applyFont="1" applyFill="1" applyAlignment="1">
      <alignment horizontal="center"/>
    </xf>
    <xf numFmtId="0" fontId="7" fillId="9" borderId="5" xfId="0" applyFont="1" applyFill="1" applyBorder="1" applyAlignment="1">
      <alignment wrapText="1"/>
    </xf>
    <xf numFmtId="0" fontId="9" fillId="7" borderId="31" xfId="2" applyFont="1" applyFill="1" applyBorder="1" applyAlignment="1">
      <alignment horizontal="center" wrapText="1"/>
    </xf>
    <xf numFmtId="0" fontId="9" fillId="7" borderId="30" xfId="0" applyFont="1" applyFill="1" applyBorder="1" applyAlignment="1">
      <alignment horizontal="center" wrapText="1"/>
    </xf>
    <xf numFmtId="0" fontId="3" fillId="14" borderId="3" xfId="0" applyFont="1" applyFill="1" applyBorder="1" applyAlignment="1">
      <alignment horizontal="center"/>
    </xf>
    <xf numFmtId="0" fontId="0" fillId="0" borderId="15" xfId="0" applyBorder="1" applyAlignment="1">
      <alignment horizontal="center"/>
    </xf>
    <xf numFmtId="44" fontId="3" fillId="0" borderId="0" xfId="0" applyNumberFormat="1" applyFont="1"/>
    <xf numFmtId="2" fontId="0" fillId="0" borderId="0" xfId="0" applyNumberFormat="1"/>
    <xf numFmtId="0" fontId="0" fillId="0" borderId="7" xfId="0" applyBorder="1"/>
    <xf numFmtId="2" fontId="0" fillId="0" borderId="7" xfId="0" applyNumberFormat="1" applyBorder="1"/>
    <xf numFmtId="0" fontId="0" fillId="0" borderId="7" xfId="0" applyBorder="1" applyAlignment="1">
      <alignment horizontal="center"/>
    </xf>
    <xf numFmtId="2" fontId="0" fillId="0" borderId="7" xfId="0" applyNumberFormat="1" applyBorder="1" applyAlignment="1">
      <alignment horizontal="center"/>
    </xf>
    <xf numFmtId="2" fontId="0" fillId="0" borderId="0" xfId="0" applyNumberFormat="1" applyAlignment="1">
      <alignment horizontal="center"/>
    </xf>
    <xf numFmtId="2" fontId="0" fillId="0" borderId="9" xfId="0" applyNumberFormat="1" applyBorder="1"/>
    <xf numFmtId="2" fontId="0" fillId="0" borderId="13" xfId="0" applyNumberFormat="1" applyBorder="1" applyAlignment="1">
      <alignment horizontal="center"/>
    </xf>
    <xf numFmtId="2" fontId="0" fillId="0" borderId="9" xfId="0" applyNumberFormat="1" applyBorder="1" applyAlignment="1">
      <alignment horizontal="center"/>
    </xf>
    <xf numFmtId="2" fontId="0" fillId="0" borderId="14" xfId="0" applyNumberFormat="1" applyBorder="1" applyAlignment="1">
      <alignment horizontal="center"/>
    </xf>
    <xf numFmtId="2" fontId="3" fillId="0" borderId="0" xfId="0" applyNumberFormat="1" applyFont="1" applyAlignment="1">
      <alignment horizontal="center"/>
    </xf>
    <xf numFmtId="2" fontId="0" fillId="0" borderId="13" xfId="0" applyNumberFormat="1" applyBorder="1"/>
    <xf numFmtId="0" fontId="23" fillId="7" borderId="13" xfId="0" applyFont="1" applyFill="1" applyBorder="1" applyAlignment="1">
      <alignment horizontal="center"/>
    </xf>
    <xf numFmtId="0" fontId="23" fillId="7" borderId="9" xfId="0" applyFont="1" applyFill="1" applyBorder="1" applyAlignment="1">
      <alignment horizontal="center"/>
    </xf>
    <xf numFmtId="0" fontId="3" fillId="7" borderId="3" xfId="0" applyFont="1" applyFill="1" applyBorder="1" applyAlignment="1">
      <alignment horizontal="center"/>
    </xf>
    <xf numFmtId="0" fontId="23" fillId="16" borderId="7" xfId="0" applyFont="1" applyFill="1" applyBorder="1" applyAlignment="1">
      <alignment horizontal="center" wrapText="1"/>
    </xf>
    <xf numFmtId="0" fontId="23" fillId="16" borderId="0" xfId="0" applyFont="1" applyFill="1" applyAlignment="1">
      <alignment horizontal="center" wrapText="1"/>
    </xf>
    <xf numFmtId="0" fontId="23" fillId="7" borderId="15" xfId="0" applyFont="1" applyFill="1" applyBorder="1" applyAlignment="1">
      <alignment horizontal="center"/>
    </xf>
    <xf numFmtId="2" fontId="0" fillId="7" borderId="23" xfId="0" applyNumberFormat="1" applyFill="1" applyBorder="1" applyAlignment="1">
      <alignment horizontal="center"/>
    </xf>
    <xf numFmtId="2" fontId="0" fillId="7" borderId="15" xfId="0" applyNumberFormat="1" applyFill="1" applyBorder="1" applyAlignment="1">
      <alignment horizontal="center"/>
    </xf>
    <xf numFmtId="2" fontId="3" fillId="7" borderId="23" xfId="0" applyNumberFormat="1" applyFont="1" applyFill="1" applyBorder="1" applyAlignment="1">
      <alignment horizontal="center"/>
    </xf>
    <xf numFmtId="2" fontId="3" fillId="7" borderId="15" xfId="0" applyNumberFormat="1" applyFont="1" applyFill="1" applyBorder="1" applyAlignment="1">
      <alignment horizontal="center"/>
    </xf>
    <xf numFmtId="0" fontId="23" fillId="12" borderId="13" xfId="0" applyFont="1" applyFill="1" applyBorder="1" applyAlignment="1">
      <alignment horizontal="center" wrapText="1"/>
    </xf>
    <xf numFmtId="0" fontId="28" fillId="7" borderId="31" xfId="2" applyFont="1" applyFill="1" applyBorder="1" applyAlignment="1">
      <alignment horizontal="center" wrapText="1"/>
    </xf>
    <xf numFmtId="0" fontId="0" fillId="0" borderId="0" xfId="0" applyAlignment="1">
      <alignment horizontal="center"/>
    </xf>
    <xf numFmtId="0" fontId="0" fillId="9" borderId="0" xfId="0" applyFill="1" applyAlignment="1">
      <alignment horizontal="center"/>
    </xf>
    <xf numFmtId="0" fontId="0" fillId="9" borderId="0" xfId="0" applyFill="1" applyAlignment="1">
      <alignment wrapText="1"/>
    </xf>
    <xf numFmtId="0" fontId="0" fillId="17" borderId="0" xfId="0" applyFill="1"/>
    <xf numFmtId="0" fontId="0" fillId="0" borderId="10" xfId="0" applyBorder="1"/>
    <xf numFmtId="0" fontId="0" fillId="0" borderId="8" xfId="0" applyBorder="1" applyAlignment="1">
      <alignment horizontal="center"/>
    </xf>
    <xf numFmtId="0" fontId="0" fillId="0" borderId="0" xfId="0" applyBorder="1" applyAlignment="1">
      <alignment horizontal="center"/>
    </xf>
    <xf numFmtId="0" fontId="0" fillId="0" borderId="13" xfId="0" applyBorder="1"/>
    <xf numFmtId="0" fontId="0" fillId="0" borderId="9" xfId="0" applyBorder="1" applyAlignment="1">
      <alignment horizontal="center"/>
    </xf>
    <xf numFmtId="0" fontId="0" fillId="0" borderId="12" xfId="0" applyBorder="1"/>
    <xf numFmtId="0" fontId="3" fillId="0" borderId="0" xfId="0" applyFont="1" applyAlignment="1">
      <alignment vertical="center" wrapText="1"/>
    </xf>
    <xf numFmtId="44" fontId="3"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44" fontId="0" fillId="0" borderId="0" xfId="0" applyNumberFormat="1" applyFont="1" applyAlignment="1">
      <alignment vertical="center"/>
    </xf>
    <xf numFmtId="44" fontId="0" fillId="0" borderId="0" xfId="0" applyNumberFormat="1" applyAlignment="1">
      <alignment vertical="center"/>
    </xf>
    <xf numFmtId="44" fontId="0" fillId="0" borderId="12" xfId="0" applyNumberFormat="1" applyBorder="1"/>
    <xf numFmtId="44" fontId="0" fillId="0" borderId="39" xfId="0" applyNumberFormat="1" applyBorder="1"/>
    <xf numFmtId="44" fontId="0" fillId="0" borderId="40" xfId="0" applyNumberFormat="1" applyBorder="1"/>
    <xf numFmtId="0" fontId="0" fillId="0" borderId="8" xfId="0" applyBorder="1"/>
    <xf numFmtId="0" fontId="0" fillId="17" borderId="0" xfId="0" applyFill="1" applyBorder="1"/>
    <xf numFmtId="0" fontId="0" fillId="18" borderId="0" xfId="0" applyFill="1"/>
    <xf numFmtId="0" fontId="3" fillId="0" borderId="0" xfId="0" applyFont="1" applyAlignment="1">
      <alignment horizontal="right" vertical="center" wrapText="1"/>
    </xf>
    <xf numFmtId="0" fontId="0" fillId="0" borderId="0" xfId="0" applyAlignment="1">
      <alignment horizontal="center"/>
    </xf>
    <xf numFmtId="0" fontId="7" fillId="0" borderId="1" xfId="2" applyFont="1" applyFill="1" applyAlignment="1" applyProtection="1">
      <alignment horizontal="center"/>
      <protection locked="0"/>
    </xf>
    <xf numFmtId="0" fontId="7" fillId="0" borderId="1" xfId="2" applyFont="1" applyFill="1" applyAlignment="1" applyProtection="1">
      <alignment horizontal="center" wrapText="1"/>
      <protection locked="0"/>
    </xf>
    <xf numFmtId="0" fontId="0" fillId="0" borderId="1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5" xfId="0" applyBorder="1" applyAlignment="1" applyProtection="1">
      <alignment horizontal="center"/>
      <protection locked="0"/>
    </xf>
    <xf numFmtId="0" fontId="3" fillId="9" borderId="0" xfId="0" applyFont="1" applyFill="1"/>
    <xf numFmtId="0" fontId="3" fillId="9" borderId="0" xfId="0" quotePrefix="1" applyFont="1" applyFill="1"/>
    <xf numFmtId="164" fontId="0" fillId="6" borderId="3" xfId="0" applyNumberFormat="1"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8" xfId="0" applyFill="1" applyBorder="1" applyAlignment="1">
      <alignment horizontal="center" vertical="center"/>
    </xf>
    <xf numFmtId="164" fontId="0" fillId="6" borderId="0" xfId="0" applyNumberFormat="1" applyFill="1" applyBorder="1" applyAlignment="1">
      <alignment horizontal="center" vertical="center"/>
    </xf>
    <xf numFmtId="164" fontId="0" fillId="6" borderId="12" xfId="0" applyNumberFormat="1" applyFill="1" applyBorder="1" applyAlignment="1">
      <alignment horizontal="center" vertical="center"/>
    </xf>
    <xf numFmtId="0" fontId="5" fillId="6" borderId="8" xfId="0" applyFont="1" applyFill="1" applyBorder="1" applyAlignment="1">
      <alignment vertical="center"/>
    </xf>
    <xf numFmtId="0" fontId="0" fillId="6" borderId="8" xfId="0" applyFill="1" applyBorder="1"/>
    <xf numFmtId="0" fontId="0" fillId="6" borderId="11" xfId="0" applyFill="1" applyBorder="1"/>
    <xf numFmtId="0" fontId="5" fillId="6" borderId="0" xfId="0" applyFont="1" applyFill="1" applyBorder="1"/>
    <xf numFmtId="0" fontId="5" fillId="6" borderId="0" xfId="0" applyFont="1" applyFill="1" applyBorder="1" applyAlignment="1">
      <alignment vertical="center"/>
    </xf>
    <xf numFmtId="0" fontId="0" fillId="6" borderId="0" xfId="0" applyFill="1" applyBorder="1"/>
    <xf numFmtId="0" fontId="0" fillId="6" borderId="12" xfId="0" applyFill="1" applyBorder="1"/>
    <xf numFmtId="0" fontId="5" fillId="6" borderId="0" xfId="0" applyFont="1" applyFill="1" applyBorder="1" applyAlignment="1" applyProtection="1">
      <alignment vertical="top"/>
    </xf>
    <xf numFmtId="0" fontId="0" fillId="6" borderId="0" xfId="0" applyFill="1" applyBorder="1" applyAlignment="1" applyProtection="1">
      <alignment vertical="top"/>
    </xf>
    <xf numFmtId="0" fontId="5" fillId="6" borderId="9" xfId="0" applyFont="1" applyFill="1" applyBorder="1"/>
    <xf numFmtId="0" fontId="0" fillId="6" borderId="3" xfId="0" applyFill="1" applyBorder="1" applyAlignment="1" applyProtection="1">
      <alignment horizontal="center" vertical="center"/>
      <protection locked="0"/>
    </xf>
    <xf numFmtId="0" fontId="0" fillId="6" borderId="3" xfId="0" applyFill="1" applyBorder="1" applyAlignment="1" applyProtection="1">
      <alignment horizontal="center" vertical="center" wrapText="1"/>
      <protection locked="0"/>
    </xf>
    <xf numFmtId="0" fontId="39" fillId="9" borderId="0" xfId="0" quotePrefix="1" applyFont="1" applyFill="1"/>
    <xf numFmtId="0" fontId="39" fillId="9" borderId="0" xfId="0" applyFont="1" applyFill="1"/>
    <xf numFmtId="0" fontId="24" fillId="9" borderId="0" xfId="0" applyFont="1" applyFill="1"/>
    <xf numFmtId="0" fontId="0" fillId="6" borderId="0" xfId="0" applyFill="1" applyBorder="1" applyAlignment="1">
      <alignment horizontal="left" vertical="center"/>
    </xf>
    <xf numFmtId="0" fontId="0" fillId="6" borderId="13" xfId="0" applyFill="1" applyBorder="1"/>
    <xf numFmtId="0" fontId="0" fillId="0" borderId="0" xfId="0" applyAlignment="1">
      <alignment horizontal="left"/>
    </xf>
    <xf numFmtId="0" fontId="3" fillId="0" borderId="0" xfId="0" applyFont="1" applyBorder="1" applyAlignment="1">
      <alignment horizontal="center" vertical="center"/>
    </xf>
    <xf numFmtId="0" fontId="0" fillId="0" borderId="0" xfId="0" applyAlignment="1">
      <alignment horizontal="center"/>
    </xf>
    <xf numFmtId="0" fontId="0" fillId="0" borderId="0" xfId="0" quotePrefix="1"/>
    <xf numFmtId="0" fontId="3" fillId="6" borderId="4" xfId="0" applyFont="1" applyFill="1" applyBorder="1" applyAlignment="1" applyProtection="1">
      <alignment horizontal="center" vertical="center"/>
      <protection locked="0"/>
    </xf>
    <xf numFmtId="0" fontId="40" fillId="12" borderId="4" xfId="0" applyFont="1" applyFill="1" applyBorder="1" applyAlignment="1">
      <alignment horizontal="center" wrapText="1"/>
    </xf>
    <xf numFmtId="0" fontId="0" fillId="0" borderId="10"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27" fillId="12" borderId="15" xfId="0" applyFont="1" applyFill="1" applyBorder="1" applyAlignment="1">
      <alignment horizontal="center" wrapText="1"/>
    </xf>
    <xf numFmtId="0" fontId="23" fillId="12" borderId="15" xfId="0" applyFont="1" applyFill="1" applyBorder="1" applyAlignment="1">
      <alignment horizontal="center" wrapText="1"/>
    </xf>
    <xf numFmtId="0" fontId="0" fillId="0" borderId="23" xfId="0" applyBorder="1" applyAlignment="1" applyProtection="1">
      <alignment horizontal="center" wrapText="1"/>
      <protection locked="0"/>
    </xf>
    <xf numFmtId="0" fontId="23" fillId="10" borderId="24" xfId="0" applyFont="1" applyFill="1" applyBorder="1" applyAlignment="1">
      <alignment vertical="center"/>
    </xf>
    <xf numFmtId="0" fontId="23" fillId="10" borderId="24" xfId="0" applyFont="1" applyFill="1" applyBorder="1" applyAlignment="1">
      <alignment vertical="center" wrapText="1"/>
    </xf>
    <xf numFmtId="0" fontId="23" fillId="10" borderId="34" xfId="0" applyFont="1" applyFill="1" applyBorder="1" applyAlignment="1">
      <alignment vertical="center" wrapText="1"/>
    </xf>
    <xf numFmtId="0" fontId="15" fillId="12" borderId="24" xfId="0" applyFont="1" applyFill="1" applyBorder="1" applyAlignment="1">
      <alignment vertical="center"/>
    </xf>
    <xf numFmtId="0" fontId="15" fillId="12" borderId="24" xfId="0" applyFont="1" applyFill="1" applyBorder="1" applyAlignment="1">
      <alignment vertical="center" wrapText="1"/>
    </xf>
    <xf numFmtId="0" fontId="15" fillId="12" borderId="34" xfId="0" applyFont="1" applyFill="1" applyBorder="1" applyAlignment="1">
      <alignment vertical="center" wrapText="1"/>
    </xf>
    <xf numFmtId="0" fontId="15" fillId="14" borderId="24" xfId="0" applyFont="1" applyFill="1" applyBorder="1" applyAlignment="1">
      <alignment vertical="center"/>
    </xf>
    <xf numFmtId="0" fontId="15" fillId="14" borderId="24" xfId="0" applyFont="1" applyFill="1" applyBorder="1" applyAlignment="1">
      <alignment vertical="center" wrapText="1"/>
    </xf>
    <xf numFmtId="0" fontId="15" fillId="14" borderId="34" xfId="0" applyFont="1" applyFill="1" applyBorder="1" applyAlignment="1">
      <alignment vertical="center" wrapText="1"/>
    </xf>
    <xf numFmtId="0" fontId="15" fillId="13" borderId="24" xfId="0" applyFont="1" applyFill="1" applyBorder="1" applyAlignment="1">
      <alignment vertical="center"/>
    </xf>
    <xf numFmtId="0" fontId="15" fillId="13" borderId="24" xfId="0" applyFont="1" applyFill="1" applyBorder="1" applyAlignment="1">
      <alignment vertical="center" wrapText="1"/>
    </xf>
    <xf numFmtId="0" fontId="15" fillId="13" borderId="34" xfId="0" applyFont="1" applyFill="1" applyBorder="1" applyAlignment="1">
      <alignment vertical="center" wrapText="1"/>
    </xf>
    <xf numFmtId="0" fontId="0" fillId="0" borderId="0" xfId="0" applyFill="1" applyBorder="1" applyAlignment="1">
      <alignment horizontal="center"/>
    </xf>
    <xf numFmtId="0" fontId="0" fillId="0" borderId="23" xfId="0" applyBorder="1" applyAlignment="1" applyProtection="1">
      <alignment wrapText="1"/>
    </xf>
    <xf numFmtId="0" fontId="0" fillId="0" borderId="10" xfId="0" applyBorder="1" applyAlignment="1" applyProtection="1">
      <alignment horizontal="center" wrapText="1"/>
    </xf>
    <xf numFmtId="0" fontId="0" fillId="0" borderId="23" xfId="0" applyBorder="1" applyAlignment="1" applyProtection="1">
      <alignment horizontal="center" wrapText="1"/>
    </xf>
    <xf numFmtId="0" fontId="0" fillId="0" borderId="7" xfId="0" applyBorder="1" applyAlignment="1" applyProtection="1">
      <alignment horizontal="center" wrapText="1"/>
    </xf>
    <xf numFmtId="0" fontId="0" fillId="0" borderId="26" xfId="0" applyBorder="1" applyAlignment="1" applyProtection="1">
      <alignment horizontal="center" wrapText="1"/>
    </xf>
    <xf numFmtId="0" fontId="0" fillId="9" borderId="0" xfId="0" applyFill="1" applyProtection="1"/>
    <xf numFmtId="0" fontId="7" fillId="0" borderId="0" xfId="0" applyFont="1" applyAlignment="1" applyProtection="1">
      <alignment horizontal="center"/>
      <protection locked="0"/>
    </xf>
    <xf numFmtId="0" fontId="23" fillId="12" borderId="4" xfId="0" applyFont="1" applyFill="1" applyBorder="1" applyAlignment="1">
      <alignment horizontal="center" wrapText="1"/>
    </xf>
    <xf numFmtId="1" fontId="0" fillId="6" borderId="6" xfId="0" applyNumberFormat="1" applyFill="1" applyBorder="1" applyAlignment="1" applyProtection="1">
      <alignment horizontal="center" vertical="center"/>
      <protection locked="0"/>
    </xf>
    <xf numFmtId="0" fontId="23" fillId="7" borderId="9" xfId="0" applyFont="1" applyFill="1" applyBorder="1" applyAlignment="1">
      <alignment horizontal="center" wrapText="1"/>
    </xf>
    <xf numFmtId="0" fontId="23" fillId="9" borderId="0" xfId="0" applyFont="1" applyFill="1" applyBorder="1" applyAlignment="1" applyProtection="1">
      <alignment horizontal="center" vertical="center" wrapText="1"/>
    </xf>
    <xf numFmtId="0" fontId="0" fillId="9" borderId="0" xfId="0" applyFill="1" applyBorder="1"/>
    <xf numFmtId="1" fontId="0" fillId="0" borderId="16" xfId="0" applyNumberFormat="1" applyFill="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23" xfId="0" applyNumberFormat="1" applyBorder="1" applyAlignment="1" applyProtection="1">
      <alignment horizontal="center"/>
      <protection locked="0"/>
    </xf>
    <xf numFmtId="1" fontId="0" fillId="0" borderId="23"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locked="0"/>
    </xf>
    <xf numFmtId="0" fontId="40" fillId="12" borderId="3" xfId="0" applyFont="1" applyFill="1" applyBorder="1" applyAlignment="1">
      <alignment horizontal="center" vertical="center" wrapText="1"/>
    </xf>
    <xf numFmtId="49" fontId="0" fillId="6" borderId="3" xfId="0" applyNumberFormat="1" applyFill="1" applyBorder="1" applyAlignment="1" applyProtection="1">
      <alignment horizontal="center" vertical="center"/>
      <protection locked="0"/>
    </xf>
    <xf numFmtId="0" fontId="45" fillId="9" borderId="0" xfId="0" applyFont="1" applyFill="1" applyBorder="1" applyAlignment="1" applyProtection="1">
      <alignment horizontal="center"/>
    </xf>
    <xf numFmtId="2" fontId="0" fillId="0" borderId="0" xfId="0" applyNumberFormat="1" applyBorder="1"/>
    <xf numFmtId="2" fontId="0" fillId="0" borderId="12" xfId="0" applyNumberFormat="1" applyBorder="1"/>
    <xf numFmtId="2" fontId="0" fillId="0" borderId="12" xfId="0" applyNumberFormat="1" applyBorder="1" applyAlignment="1">
      <alignment horizontal="center"/>
    </xf>
    <xf numFmtId="2" fontId="0" fillId="0" borderId="0" xfId="0" applyNumberFormat="1" applyBorder="1" applyAlignment="1">
      <alignment horizontal="center"/>
    </xf>
    <xf numFmtId="0" fontId="15" fillId="13" borderId="47" xfId="0" applyFont="1" applyFill="1" applyBorder="1" applyAlignment="1">
      <alignment vertical="center"/>
    </xf>
    <xf numFmtId="0" fontId="15" fillId="13" borderId="47" xfId="0" applyFont="1" applyFill="1" applyBorder="1" applyAlignment="1">
      <alignment vertical="center" wrapText="1"/>
    </xf>
    <xf numFmtId="0" fontId="15" fillId="13" borderId="48"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Border="1" applyAlignment="1">
      <alignment vertical="center"/>
    </xf>
    <xf numFmtId="0" fontId="45" fillId="0" borderId="0" xfId="0" applyFont="1" applyFill="1" applyBorder="1" applyAlignment="1">
      <alignment vertical="center" wrapText="1"/>
    </xf>
    <xf numFmtId="0" fontId="0" fillId="0" borderId="0" xfId="0" applyBorder="1" applyAlignment="1">
      <alignment vertical="center" wrapText="1"/>
    </xf>
    <xf numFmtId="2" fontId="0" fillId="0" borderId="11" xfId="0" applyNumberFormat="1" applyBorder="1" applyAlignment="1">
      <alignment horizontal="center"/>
    </xf>
    <xf numFmtId="2" fontId="0" fillId="0" borderId="8" xfId="0" applyNumberFormat="1" applyBorder="1"/>
    <xf numFmtId="44" fontId="7" fillId="0" borderId="0" xfId="0" applyNumberFormat="1" applyFont="1"/>
    <xf numFmtId="0" fontId="3" fillId="6" borderId="3" xfId="0" applyFont="1" applyFill="1" applyBorder="1" applyAlignment="1" applyProtection="1">
      <alignment horizontal="center"/>
    </xf>
    <xf numFmtId="0" fontId="3" fillId="6" borderId="15" xfId="0" applyFont="1" applyFill="1" applyBorder="1" applyAlignment="1" applyProtection="1">
      <alignment horizontal="center"/>
    </xf>
    <xf numFmtId="0" fontId="0" fillId="6" borderId="8" xfId="0" applyFill="1" applyBorder="1" applyAlignment="1" applyProtection="1">
      <alignment horizontal="center"/>
    </xf>
    <xf numFmtId="44" fontId="0" fillId="6" borderId="37" xfId="0" applyNumberFormat="1" applyFill="1" applyBorder="1" applyProtection="1"/>
    <xf numFmtId="0" fontId="0" fillId="6" borderId="36" xfId="0" applyFill="1" applyBorder="1" applyAlignment="1" applyProtection="1">
      <alignment horizontal="center"/>
    </xf>
    <xf numFmtId="44" fontId="0" fillId="6" borderId="36" xfId="0" applyNumberFormat="1" applyFill="1" applyBorder="1" applyProtection="1"/>
    <xf numFmtId="0" fontId="0" fillId="6" borderId="9" xfId="0" applyFill="1" applyBorder="1" applyAlignment="1" applyProtection="1">
      <alignment horizontal="center"/>
    </xf>
    <xf numFmtId="44" fontId="0" fillId="6" borderId="38" xfId="0" applyNumberFormat="1" applyFill="1" applyBorder="1" applyProtection="1"/>
    <xf numFmtId="0" fontId="0" fillId="0" borderId="0" xfId="0" applyAlignment="1">
      <alignment horizontal="center"/>
    </xf>
    <xf numFmtId="0" fontId="0" fillId="11" borderId="0" xfId="0" applyFill="1"/>
    <xf numFmtId="0" fontId="0" fillId="11" borderId="0" xfId="0" applyFill="1" applyAlignment="1">
      <alignment horizontal="center"/>
    </xf>
    <xf numFmtId="0" fontId="0" fillId="0" borderId="11" xfId="0" applyBorder="1"/>
    <xf numFmtId="0" fontId="0" fillId="0" borderId="9" xfId="0" applyBorder="1"/>
    <xf numFmtId="0" fontId="0" fillId="0" borderId="14" xfId="0" applyBorder="1"/>
    <xf numFmtId="0" fontId="7" fillId="0" borderId="9" xfId="0" applyFont="1" applyBorder="1"/>
    <xf numFmtId="0" fontId="7" fillId="0" borderId="5" xfId="0" applyFont="1" applyBorder="1"/>
    <xf numFmtId="0" fontId="17" fillId="0" borderId="0" xfId="0" applyFont="1"/>
    <xf numFmtId="0" fontId="7" fillId="8" borderId="5" xfId="0" applyFont="1" applyFill="1" applyBorder="1"/>
    <xf numFmtId="0" fontId="7" fillId="8" borderId="0" xfId="0" applyFont="1" applyFill="1"/>
    <xf numFmtId="0" fontId="7" fillId="8" borderId="3" xfId="0" applyFont="1" applyFill="1" applyBorder="1"/>
    <xf numFmtId="44" fontId="7" fillId="8" borderId="3" xfId="0" applyNumberFormat="1" applyFont="1" applyFill="1" applyBorder="1"/>
    <xf numFmtId="43" fontId="7" fillId="8" borderId="3" xfId="0" applyNumberFormat="1" applyFont="1" applyFill="1" applyBorder="1"/>
    <xf numFmtId="44" fontId="7" fillId="8" borderId="5" xfId="0" applyNumberFormat="1" applyFont="1" applyFill="1" applyBorder="1"/>
    <xf numFmtId="0" fontId="7" fillId="0" borderId="0" xfId="0" applyFont="1" applyBorder="1"/>
    <xf numFmtId="43" fontId="7" fillId="0" borderId="0" xfId="0" applyNumberFormat="1" applyFont="1"/>
    <xf numFmtId="44" fontId="7" fillId="9" borderId="1" xfId="1" applyFont="1" applyFill="1" applyBorder="1" applyAlignment="1">
      <alignment horizontal="center"/>
    </xf>
    <xf numFmtId="44" fontId="7" fillId="9" borderId="1" xfId="1" applyFont="1" applyFill="1" applyBorder="1" applyAlignment="1">
      <alignment horizontal="center" wrapText="1"/>
    </xf>
    <xf numFmtId="0" fontId="7" fillId="0" borderId="17" xfId="2" applyFont="1" applyFill="1" applyBorder="1" applyAlignment="1" applyProtection="1">
      <alignment horizontal="center" wrapText="1"/>
      <protection locked="0"/>
    </xf>
    <xf numFmtId="44" fontId="7" fillId="9" borderId="17" xfId="1" applyFont="1" applyFill="1" applyBorder="1" applyAlignment="1">
      <alignment horizontal="center" wrapText="1"/>
    </xf>
    <xf numFmtId="0" fontId="7" fillId="6" borderId="50" xfId="0" applyFont="1" applyFill="1" applyBorder="1" applyAlignment="1">
      <alignment wrapText="1"/>
    </xf>
    <xf numFmtId="0" fontId="7" fillId="0" borderId="7" xfId="0" applyFont="1" applyBorder="1"/>
    <xf numFmtId="0" fontId="7" fillId="6" borderId="49" xfId="2" applyFont="1" applyFill="1" applyBorder="1" applyAlignment="1">
      <alignment wrapText="1"/>
    </xf>
    <xf numFmtId="0" fontId="7" fillId="0" borderId="17" xfId="2" applyFont="1" applyFill="1" applyBorder="1" applyAlignment="1" applyProtection="1">
      <alignment horizontal="center"/>
      <protection locked="0"/>
    </xf>
    <xf numFmtId="44" fontId="7" fillId="9" borderId="17" xfId="1" applyFont="1" applyFill="1" applyBorder="1" applyAlignment="1">
      <alignment horizontal="center"/>
    </xf>
    <xf numFmtId="0" fontId="17" fillId="6" borderId="50" xfId="0" applyFont="1" applyFill="1" applyBorder="1" applyAlignment="1">
      <alignment wrapText="1"/>
    </xf>
    <xf numFmtId="0" fontId="7" fillId="6" borderId="51" xfId="2" applyFont="1" applyFill="1" applyBorder="1" applyAlignment="1">
      <alignment wrapText="1"/>
    </xf>
    <xf numFmtId="0" fontId="7" fillId="6" borderId="52" xfId="2" applyFont="1" applyFill="1" applyBorder="1" applyAlignment="1">
      <alignment wrapText="1"/>
    </xf>
    <xf numFmtId="0" fontId="7" fillId="0" borderId="8" xfId="0" applyFont="1" applyBorder="1" applyAlignment="1">
      <alignment wrapText="1"/>
    </xf>
    <xf numFmtId="0" fontId="7" fillId="0" borderId="53" xfId="2" applyFont="1" applyFill="1" applyBorder="1" applyAlignment="1" applyProtection="1">
      <alignment horizontal="center" wrapText="1"/>
      <protection locked="0"/>
    </xf>
    <xf numFmtId="44" fontId="7" fillId="9" borderId="53" xfId="1" applyFont="1" applyFill="1" applyBorder="1" applyAlignment="1">
      <alignment horizontal="center" wrapText="1"/>
    </xf>
    <xf numFmtId="0" fontId="0" fillId="0" borderId="0" xfId="0" applyAlignment="1">
      <alignment horizontal="center"/>
    </xf>
    <xf numFmtId="0" fontId="0" fillId="0" borderId="8" xfId="0" applyBorder="1" applyAlignment="1"/>
    <xf numFmtId="0" fontId="0" fillId="12" borderId="0" xfId="0" applyFill="1" applyAlignment="1">
      <alignment horizontal="center"/>
    </xf>
    <xf numFmtId="0" fontId="0" fillId="19" borderId="0" xfId="0" applyFill="1" applyAlignment="1">
      <alignment horizontal="center"/>
    </xf>
    <xf numFmtId="0" fontId="0" fillId="20" borderId="0" xfId="0" applyFill="1"/>
    <xf numFmtId="0" fontId="0" fillId="20" borderId="0" xfId="0" applyFill="1" applyAlignment="1">
      <alignment horizontal="center"/>
    </xf>
    <xf numFmtId="0" fontId="0" fillId="0" borderId="12" xfId="0" applyBorder="1" applyAlignment="1" applyProtection="1">
      <alignment horizontal="center"/>
      <protection locked="0"/>
    </xf>
    <xf numFmtId="0" fontId="14" fillId="0" borderId="23" xfId="0" applyFont="1" applyBorder="1" applyAlignment="1" applyProtection="1">
      <alignment horizontal="center"/>
      <protection locked="0"/>
    </xf>
    <xf numFmtId="0" fontId="0" fillId="0" borderId="10" xfId="0" applyBorder="1" applyAlignment="1"/>
    <xf numFmtId="0" fontId="14" fillId="0" borderId="23" xfId="0" applyFont="1" applyBorder="1" applyAlignment="1" applyProtection="1">
      <alignment wrapText="1"/>
      <protection locked="0"/>
    </xf>
    <xf numFmtId="0" fontId="14" fillId="0" borderId="23" xfId="0" applyFont="1" applyBorder="1" applyAlignment="1" applyProtection="1">
      <protection locked="0"/>
    </xf>
    <xf numFmtId="0" fontId="3" fillId="0" borderId="0" xfId="0" applyFont="1" applyBorder="1" applyAlignment="1">
      <alignment horizontal="center"/>
    </xf>
    <xf numFmtId="0" fontId="27" fillId="0" borderId="23" xfId="0" applyFont="1" applyBorder="1" applyAlignment="1" applyProtection="1">
      <alignment horizontal="center" wrapText="1"/>
      <protection locked="0"/>
    </xf>
    <xf numFmtId="0" fontId="0" fillId="0" borderId="23" xfId="0" applyBorder="1" applyAlignment="1" applyProtection="1">
      <protection locked="0"/>
    </xf>
    <xf numFmtId="0" fontId="0" fillId="0" borderId="15" xfId="0" applyBorder="1" applyAlignment="1" applyProtection="1">
      <protection locked="0"/>
    </xf>
    <xf numFmtId="0" fontId="0" fillId="0" borderId="16" xfId="0" applyBorder="1" applyProtection="1">
      <protection locked="0"/>
    </xf>
    <xf numFmtId="0" fontId="0" fillId="0" borderId="23" xfId="0" applyBorder="1" applyProtection="1">
      <protection locked="0"/>
    </xf>
    <xf numFmtId="0" fontId="0" fillId="0" borderId="15" xfId="0" applyBorder="1" applyProtection="1">
      <protection locked="0"/>
    </xf>
    <xf numFmtId="0" fontId="14" fillId="0" borderId="16" xfId="0" applyFont="1" applyBorder="1" applyAlignment="1" applyProtection="1">
      <alignment horizontal="center"/>
      <protection locked="0"/>
    </xf>
    <xf numFmtId="0" fontId="0" fillId="0" borderId="14" xfId="0" applyBorder="1" applyAlignment="1" applyProtection="1">
      <alignment horizontal="center"/>
      <protection locked="0"/>
    </xf>
    <xf numFmtId="0" fontId="27" fillId="0" borderId="10" xfId="0" applyFont="1" applyBorder="1" applyAlignment="1" applyProtection="1">
      <alignment horizontal="left"/>
    </xf>
    <xf numFmtId="0" fontId="27" fillId="0" borderId="7" xfId="0" applyFont="1" applyBorder="1" applyAlignment="1" applyProtection="1">
      <alignment horizontal="left"/>
    </xf>
    <xf numFmtId="0" fontId="27" fillId="0" borderId="7" xfId="0" applyFont="1" applyBorder="1" applyAlignment="1" applyProtection="1">
      <alignment wrapText="1"/>
    </xf>
    <xf numFmtId="0" fontId="27" fillId="0" borderId="7" xfId="0" applyFont="1" applyBorder="1" applyProtection="1"/>
    <xf numFmtId="0" fontId="27" fillId="0" borderId="7" xfId="0" applyFont="1" applyBorder="1" applyAlignment="1" applyProtection="1">
      <alignment vertical="center"/>
    </xf>
    <xf numFmtId="0" fontId="14" fillId="10" borderId="7" xfId="0" applyFont="1" applyFill="1" applyBorder="1" applyAlignment="1" applyProtection="1">
      <alignment horizontal="left" vertical="top" wrapText="1"/>
    </xf>
    <xf numFmtId="0" fontId="14" fillId="10" borderId="7" xfId="0" applyFont="1" applyFill="1" applyBorder="1" applyAlignment="1" applyProtection="1">
      <alignment wrapText="1"/>
    </xf>
    <xf numFmtId="0" fontId="27" fillId="10" borderId="7" xfId="0" applyFont="1" applyFill="1" applyBorder="1" applyAlignment="1" applyProtection="1"/>
    <xf numFmtId="0" fontId="14" fillId="10" borderId="7" xfId="0" applyFont="1" applyFill="1" applyBorder="1" applyAlignment="1" applyProtection="1"/>
    <xf numFmtId="0" fontId="0" fillId="10" borderId="7" xfId="0" applyFill="1" applyBorder="1" applyAlignment="1" applyProtection="1"/>
    <xf numFmtId="0" fontId="0" fillId="10" borderId="13" xfId="0" applyFill="1" applyBorder="1" applyAlignment="1" applyProtection="1"/>
    <xf numFmtId="0" fontId="49" fillId="0" borderId="7" xfId="0" applyFont="1" applyBorder="1" applyAlignment="1" applyProtection="1">
      <alignment wrapText="1"/>
    </xf>
    <xf numFmtId="0" fontId="49" fillId="0" borderId="7" xfId="0" applyFont="1" applyBorder="1" applyProtection="1"/>
    <xf numFmtId="0" fontId="3" fillId="6" borderId="16" xfId="0" applyFont="1" applyFill="1" applyBorder="1" applyAlignment="1">
      <alignment horizontal="center" wrapText="1"/>
    </xf>
    <xf numFmtId="0" fontId="15" fillId="6" borderId="47" xfId="0" applyFont="1" applyFill="1" applyBorder="1" applyAlignment="1">
      <alignment vertical="center"/>
    </xf>
    <xf numFmtId="0" fontId="15" fillId="6" borderId="47" xfId="0" applyFont="1" applyFill="1" applyBorder="1" applyAlignment="1">
      <alignment vertical="center" wrapText="1"/>
    </xf>
    <xf numFmtId="0" fontId="15" fillId="6" borderId="48" xfId="0" applyFont="1" applyFill="1" applyBorder="1" applyAlignment="1">
      <alignment vertical="center" wrapText="1"/>
    </xf>
    <xf numFmtId="0" fontId="15" fillId="12" borderId="54" xfId="0" applyFont="1" applyFill="1" applyBorder="1" applyAlignment="1">
      <alignment vertical="center" wrapText="1"/>
    </xf>
    <xf numFmtId="0" fontId="0" fillId="9" borderId="0" xfId="0" applyFill="1" applyBorder="1" applyProtection="1"/>
    <xf numFmtId="0" fontId="3" fillId="9" borderId="0" xfId="0" applyFont="1" applyFill="1" applyBorder="1" applyAlignment="1" applyProtection="1">
      <alignment horizontal="center" wrapText="1"/>
    </xf>
    <xf numFmtId="0" fontId="15" fillId="12" borderId="55" xfId="0" applyFont="1" applyFill="1" applyBorder="1" applyAlignment="1">
      <alignment vertical="center" wrapText="1"/>
    </xf>
    <xf numFmtId="0" fontId="15" fillId="12" borderId="54" xfId="0" applyFont="1" applyFill="1" applyBorder="1" applyAlignment="1">
      <alignment vertical="center"/>
    </xf>
    <xf numFmtId="0" fontId="50" fillId="9" borderId="0" xfId="0" applyFont="1" applyFill="1" applyBorder="1" applyAlignment="1" applyProtection="1">
      <alignment horizontal="center"/>
    </xf>
    <xf numFmtId="0" fontId="27" fillId="0" borderId="15" xfId="0" applyFont="1" applyBorder="1" applyAlignment="1">
      <alignment horizontal="center" wrapText="1"/>
    </xf>
    <xf numFmtId="0" fontId="0" fillId="18" borderId="0" xfId="0" applyFill="1" applyBorder="1" applyAlignment="1">
      <alignment horizontal="center"/>
    </xf>
    <xf numFmtId="0" fontId="15" fillId="20" borderId="9" xfId="0" applyFont="1" applyFill="1" applyBorder="1" applyAlignment="1">
      <alignment horizontal="center"/>
    </xf>
    <xf numFmtId="0" fontId="15" fillId="0" borderId="9" xfId="0" applyFont="1" applyBorder="1"/>
    <xf numFmtId="0" fontId="0" fillId="20" borderId="9" xfId="0" applyFill="1" applyBorder="1" applyAlignment="1">
      <alignment horizontal="center"/>
    </xf>
    <xf numFmtId="0" fontId="15" fillId="6" borderId="36" xfId="0" applyFont="1" applyFill="1" applyBorder="1" applyAlignment="1">
      <alignment vertical="center"/>
    </xf>
    <xf numFmtId="0" fontId="15" fillId="6" borderId="36" xfId="0" applyFont="1" applyFill="1" applyBorder="1" applyAlignment="1">
      <alignment vertical="center" wrapText="1"/>
    </xf>
    <xf numFmtId="0" fontId="51" fillId="6" borderId="4" xfId="0" applyFont="1" applyFill="1" applyBorder="1" applyAlignment="1">
      <alignment horizontal="left" vertical="top" wrapText="1"/>
    </xf>
    <xf numFmtId="0" fontId="0" fillId="0" borderId="0" xfId="0" applyAlignment="1">
      <alignment horizontal="center"/>
    </xf>
    <xf numFmtId="0" fontId="52" fillId="9" borderId="0" xfId="0" applyFont="1" applyFill="1"/>
    <xf numFmtId="0" fontId="53" fillId="6" borderId="3" xfId="0" applyFont="1" applyFill="1" applyBorder="1" applyAlignment="1">
      <alignment horizontal="center" wrapText="1"/>
    </xf>
    <xf numFmtId="0" fontId="54" fillId="6" borderId="0" xfId="0" applyFont="1" applyFill="1" applyAlignment="1">
      <alignment horizontal="center" wrapText="1"/>
    </xf>
    <xf numFmtId="0" fontId="54" fillId="6" borderId="0" xfId="0" applyFont="1" applyFill="1" applyAlignment="1">
      <alignment wrapText="1"/>
    </xf>
    <xf numFmtId="0" fontId="53" fillId="6" borderId="7" xfId="0" applyFont="1" applyFill="1" applyBorder="1" applyAlignment="1">
      <alignment horizontal="center" wrapText="1"/>
    </xf>
    <xf numFmtId="0" fontId="53" fillId="6" borderId="0" xfId="0" applyFont="1" applyFill="1" applyAlignment="1">
      <alignment horizontal="center" wrapText="1"/>
    </xf>
    <xf numFmtId="0" fontId="53" fillId="6" borderId="23" xfId="0" applyFont="1" applyFill="1" applyBorder="1" applyAlignment="1">
      <alignment horizontal="center" wrapText="1"/>
    </xf>
    <xf numFmtId="0" fontId="53" fillId="6" borderId="0" xfId="0" applyFont="1" applyFill="1" applyBorder="1" applyAlignment="1">
      <alignment horizontal="center" wrapText="1"/>
    </xf>
    <xf numFmtId="0" fontId="53" fillId="6" borderId="16" xfId="0" applyFont="1" applyFill="1" applyBorder="1" applyAlignment="1">
      <alignment horizontal="center" wrapText="1"/>
    </xf>
    <xf numFmtId="0" fontId="27" fillId="0" borderId="0" xfId="0" applyFont="1" applyAlignment="1">
      <alignment horizontal="left" vertical="center" wrapText="1"/>
    </xf>
    <xf numFmtId="0" fontId="27" fillId="0" borderId="23" xfId="0" applyFont="1" applyBorder="1" applyAlignment="1" applyProtection="1">
      <alignment horizontal="left" vertical="center" wrapText="1"/>
    </xf>
    <xf numFmtId="0" fontId="15" fillId="0" borderId="23" xfId="0" applyFont="1" applyBorder="1" applyAlignment="1" applyProtection="1">
      <alignment horizontal="left" vertical="top" wrapText="1"/>
      <protection locked="0"/>
    </xf>
    <xf numFmtId="0" fontId="0" fillId="9" borderId="0" xfId="0" applyFill="1" applyAlignment="1">
      <alignment horizontal="center"/>
    </xf>
    <xf numFmtId="0" fontId="0" fillId="0" borderId="0" xfId="0" applyAlignment="1">
      <alignment horizontal="center"/>
    </xf>
    <xf numFmtId="0" fontId="0" fillId="9" borderId="0" xfId="0" applyFill="1" applyAlignment="1">
      <alignment wrapText="1"/>
    </xf>
    <xf numFmtId="0" fontId="0" fillId="0" borderId="0" xfId="0" applyAlignment="1">
      <alignment wrapText="1"/>
    </xf>
    <xf numFmtId="0" fontId="56" fillId="0" borderId="7" xfId="0" applyFont="1" applyBorder="1" applyAlignment="1" applyProtection="1">
      <alignment horizontal="left" vertical="top" wrapText="1"/>
    </xf>
    <xf numFmtId="0" fontId="0" fillId="0" borderId="13" xfId="0" applyBorder="1" applyAlignment="1" applyProtection="1">
      <alignment horizontal="left" vertical="top" wrapText="1"/>
      <protection locked="0"/>
    </xf>
    <xf numFmtId="0" fontId="57" fillId="0" borderId="7" xfId="0" applyFont="1" applyBorder="1" applyAlignment="1" applyProtection="1">
      <alignment horizontal="left" wrapText="1"/>
    </xf>
    <xf numFmtId="0" fontId="0" fillId="9" borderId="0" xfId="0" applyFill="1" applyBorder="1" applyAlignment="1">
      <alignment horizontal="center" vertical="center" wrapText="1"/>
    </xf>
    <xf numFmtId="0" fontId="30" fillId="7" borderId="5" xfId="0" applyFont="1" applyFill="1" applyBorder="1" applyAlignment="1">
      <alignment horizontal="center" vertical="center" wrapText="1"/>
    </xf>
    <xf numFmtId="0" fontId="0" fillId="0" borderId="9" xfId="0" applyBorder="1" applyAlignment="1" applyProtection="1">
      <alignment horizontal="left" vertical="top" wrapText="1"/>
      <protection locked="0"/>
    </xf>
    <xf numFmtId="0" fontId="0" fillId="0" borderId="9" xfId="0" applyBorder="1" applyAlignment="1">
      <alignment horizontal="left" vertical="top" wrapText="1"/>
    </xf>
    <xf numFmtId="0" fontId="0" fillId="0" borderId="15" xfId="0" applyBorder="1" applyAlignment="1" applyProtection="1">
      <alignment horizontal="left" vertical="top" wrapText="1"/>
      <protection locked="0"/>
    </xf>
    <xf numFmtId="0" fontId="24" fillId="9" borderId="0" xfId="0" quotePrefix="1" applyFont="1" applyFill="1"/>
    <xf numFmtId="0" fontId="0" fillId="8" borderId="3" xfId="0" applyFill="1" applyBorder="1" applyAlignment="1" applyProtection="1">
      <alignment horizontal="center" vertical="center"/>
    </xf>
    <xf numFmtId="0" fontId="0" fillId="8" borderId="3" xfId="0" applyFill="1" applyBorder="1" applyAlignment="1">
      <alignment horizontal="center" vertical="center"/>
    </xf>
    <xf numFmtId="0" fontId="0" fillId="6" borderId="9" xfId="0" applyFill="1" applyBorder="1" applyAlignment="1" applyProtection="1">
      <alignment vertical="top"/>
    </xf>
    <xf numFmtId="0" fontId="15" fillId="0" borderId="0" xfId="0" applyFont="1" applyAlignment="1">
      <alignment horizontal="center" wrapText="1"/>
    </xf>
    <xf numFmtId="0" fontId="15" fillId="0" borderId="0" xfId="0" applyFont="1" applyAlignment="1">
      <alignment wrapText="1"/>
    </xf>
    <xf numFmtId="0" fontId="0" fillId="0" borderId="0" xfId="0" applyFill="1" applyAlignment="1">
      <alignment horizontal="center"/>
    </xf>
    <xf numFmtId="0" fontId="41" fillId="0" borderId="0" xfId="0" applyFont="1" applyAlignment="1">
      <alignment horizontal="center"/>
    </xf>
    <xf numFmtId="0" fontId="0" fillId="21" borderId="0" xfId="0" applyFill="1"/>
    <xf numFmtId="0" fontId="3" fillId="0" borderId="0" xfId="0" applyFont="1"/>
    <xf numFmtId="0" fontId="0" fillId="0" borderId="0" xfId="0" applyProtection="1"/>
    <xf numFmtId="0" fontId="0" fillId="0" borderId="0" xfId="0" applyAlignment="1" applyProtection="1">
      <alignment horizontal="center"/>
    </xf>
    <xf numFmtId="44" fontId="0" fillId="0" borderId="39" xfId="0" applyNumberFormat="1" applyBorder="1" applyProtection="1"/>
    <xf numFmtId="44" fontId="0" fillId="0" borderId="58" xfId="0" applyNumberFormat="1" applyBorder="1" applyProtection="1"/>
    <xf numFmtId="0" fontId="41" fillId="0" borderId="0" xfId="0" applyFont="1" applyAlignment="1" applyProtection="1">
      <alignment horizontal="center"/>
    </xf>
    <xf numFmtId="0" fontId="0" fillId="0" borderId="0" xfId="0" applyAlignment="1" applyProtection="1"/>
    <xf numFmtId="0" fontId="41" fillId="0" borderId="9" xfId="0" applyFont="1" applyBorder="1" applyAlignment="1" applyProtection="1">
      <alignment horizontal="center"/>
    </xf>
    <xf numFmtId="44" fontId="0" fillId="0" borderId="40" xfId="0" applyNumberFormat="1" applyBorder="1" applyProtection="1"/>
    <xf numFmtId="0" fontId="0" fillId="8" borderId="4" xfId="0" applyFill="1" applyBorder="1" applyAlignment="1" applyProtection="1">
      <alignment horizontal="center"/>
    </xf>
    <xf numFmtId="0" fontId="0" fillId="8" borderId="6" xfId="0" applyFill="1" applyBorder="1" applyAlignment="1" applyProtection="1">
      <alignment horizontal="center"/>
    </xf>
    <xf numFmtId="0" fontId="4" fillId="3" borderId="3"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alignment wrapText="1"/>
    </xf>
    <xf numFmtId="0" fontId="0" fillId="8" borderId="4" xfId="0" applyFill="1" applyBorder="1" applyAlignment="1" applyProtection="1"/>
    <xf numFmtId="0" fontId="0" fillId="8" borderId="5" xfId="0" applyFill="1" applyBorder="1" applyAlignment="1" applyProtection="1"/>
    <xf numFmtId="0" fontId="0" fillId="8" borderId="6" xfId="0" applyFill="1" applyBorder="1" applyAlignment="1" applyProtection="1"/>
    <xf numFmtId="0" fontId="47" fillId="8" borderId="7" xfId="0" applyFont="1" applyFill="1" applyBorder="1" applyAlignment="1">
      <alignment horizontal="left" vertical="top" wrapText="1"/>
    </xf>
    <xf numFmtId="0" fontId="61" fillId="0" borderId="0" xfId="0" applyFont="1" applyAlignment="1">
      <alignment horizontal="left" vertical="top" wrapText="1"/>
    </xf>
    <xf numFmtId="0" fontId="61" fillId="0" borderId="12" xfId="0" applyFont="1" applyBorder="1" applyAlignment="1">
      <alignment horizontal="left" vertical="top" wrapText="1"/>
    </xf>
    <xf numFmtId="0" fontId="61" fillId="0" borderId="7" xfId="0" applyFont="1" applyBorder="1" applyAlignment="1">
      <alignment horizontal="left" vertical="top" wrapText="1"/>
    </xf>
    <xf numFmtId="0" fontId="25" fillId="0" borderId="7" xfId="0" applyFont="1" applyBorder="1" applyAlignment="1">
      <alignment horizontal="left" vertical="top" wrapText="1"/>
    </xf>
    <xf numFmtId="0" fontId="25" fillId="0" borderId="0" xfId="0" applyFont="1" applyAlignment="1">
      <alignment horizontal="left" vertical="top" wrapText="1"/>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25" fillId="0" borderId="9" xfId="0" applyFont="1" applyBorder="1" applyAlignment="1">
      <alignment horizontal="left" vertical="top" wrapText="1"/>
    </xf>
    <xf numFmtId="0" fontId="25" fillId="0" borderId="14" xfId="0" applyFont="1" applyBorder="1" applyAlignment="1">
      <alignment horizontal="left" vertical="top" wrapText="1"/>
    </xf>
    <xf numFmtId="0" fontId="14" fillId="6" borderId="4" xfId="0" applyFont="1" applyFill="1" applyBorder="1" applyAlignment="1" applyProtection="1">
      <alignment horizontal="left" vertical="top" wrapText="1"/>
      <protection locked="0"/>
    </xf>
    <xf numFmtId="0" fontId="14" fillId="6" borderId="5" xfId="0" applyFont="1" applyFill="1" applyBorder="1" applyAlignment="1" applyProtection="1">
      <alignment horizontal="left" vertical="top" wrapText="1"/>
      <protection locked="0"/>
    </xf>
    <xf numFmtId="0" fontId="14" fillId="6" borderId="6" xfId="0" applyFont="1" applyFill="1" applyBorder="1" applyAlignment="1" applyProtection="1">
      <alignment horizontal="left" vertical="top" wrapText="1"/>
      <protection locked="0"/>
    </xf>
    <xf numFmtId="0" fontId="0" fillId="6" borderId="4" xfId="0"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14" fillId="8" borderId="5" xfId="0" applyFont="1" applyFill="1" applyBorder="1" applyAlignment="1" applyProtection="1"/>
    <xf numFmtId="0" fontId="14" fillId="8" borderId="6" xfId="0" applyFont="1" applyFill="1" applyBorder="1" applyAlignment="1" applyProtection="1"/>
    <xf numFmtId="0" fontId="4" fillId="3" borderId="10" xfId="0" applyFont="1" applyFill="1"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14" fillId="8" borderId="4"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4" xfId="0" applyFont="1" applyFill="1" applyBorder="1" applyAlignment="1">
      <alignment vertical="center"/>
    </xf>
    <xf numFmtId="0" fontId="14" fillId="8" borderId="5" xfId="0" applyFont="1" applyFill="1" applyBorder="1" applyAlignment="1">
      <alignment vertical="center"/>
    </xf>
    <xf numFmtId="0" fontId="14" fillId="8" borderId="6" xfId="0" applyFont="1" applyFill="1" applyBorder="1" applyAlignment="1">
      <alignment vertical="center"/>
    </xf>
    <xf numFmtId="0" fontId="4" fillId="3" borderId="10" xfId="0" applyFont="1" applyFill="1" applyBorder="1" applyAlignment="1">
      <alignment vertical="top" wrapText="1"/>
    </xf>
    <xf numFmtId="0" fontId="0" fillId="0" borderId="8" xfId="0" applyBorder="1" applyAlignment="1">
      <alignment vertical="top" wrapText="1"/>
    </xf>
    <xf numFmtId="0" fontId="0" fillId="0" borderId="11"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9" xfId="0" applyBorder="1" applyAlignment="1">
      <alignment vertical="top" wrapText="1"/>
    </xf>
    <xf numFmtId="0" fontId="0" fillId="0" borderId="14" xfId="0" applyBorder="1" applyAlignment="1">
      <alignment vertical="top" wrapText="1"/>
    </xf>
    <xf numFmtId="0" fontId="0" fillId="6" borderId="9" xfId="0" applyFill="1" applyBorder="1" applyProtection="1">
      <protection locked="0"/>
    </xf>
    <xf numFmtId="0" fontId="0" fillId="6" borderId="14" xfId="0" applyFill="1" applyBorder="1" applyProtection="1">
      <protection locked="0"/>
    </xf>
    <xf numFmtId="0" fontId="14" fillId="6" borderId="41" xfId="0" applyFont="1" applyFill="1" applyBorder="1" applyAlignment="1" applyProtection="1">
      <alignment horizontal="left" vertical="top" wrapText="1"/>
      <protection locked="0"/>
    </xf>
    <xf numFmtId="0" fontId="14" fillId="6" borderId="29" xfId="0" applyFont="1" applyFill="1" applyBorder="1" applyAlignment="1" applyProtection="1">
      <alignment horizontal="left" vertical="top" wrapText="1"/>
      <protection locked="0"/>
    </xf>
    <xf numFmtId="0" fontId="14" fillId="6" borderId="42" xfId="0" applyFont="1" applyFill="1" applyBorder="1" applyAlignment="1" applyProtection="1">
      <alignment horizontal="left" vertical="top" wrapText="1"/>
      <protection locked="0"/>
    </xf>
    <xf numFmtId="0" fontId="14" fillId="6" borderId="43"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14" fillId="6" borderId="44" xfId="0" applyFont="1" applyFill="1" applyBorder="1" applyAlignment="1" applyProtection="1">
      <alignment horizontal="left" vertical="top" wrapText="1"/>
      <protection locked="0"/>
    </xf>
    <xf numFmtId="0" fontId="14" fillId="6" borderId="45" xfId="0" applyFont="1" applyFill="1" applyBorder="1" applyAlignment="1" applyProtection="1">
      <alignment horizontal="left" vertical="top" wrapText="1"/>
      <protection locked="0"/>
    </xf>
    <xf numFmtId="0" fontId="14" fillId="6" borderId="2" xfId="0" applyFont="1" applyFill="1" applyBorder="1" applyAlignment="1" applyProtection="1">
      <alignment horizontal="left" vertical="top" wrapText="1"/>
      <protection locked="0"/>
    </xf>
    <xf numFmtId="0" fontId="14" fillId="6" borderId="46" xfId="0" applyFont="1" applyFill="1" applyBorder="1" applyAlignment="1" applyProtection="1">
      <alignment horizontal="left" vertical="top" wrapText="1"/>
      <protection locked="0"/>
    </xf>
    <xf numFmtId="0" fontId="4" fillId="3" borderId="10" xfId="0" applyFont="1" applyFill="1" applyBorder="1" applyAlignment="1">
      <alignment vertical="center" wrapText="1"/>
    </xf>
    <xf numFmtId="0" fontId="0" fillId="0" borderId="8"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9" xfId="0" applyBorder="1" applyAlignment="1">
      <alignment wrapText="1"/>
    </xf>
    <xf numFmtId="0" fontId="0" fillId="0" borderId="14" xfId="0" applyBorder="1" applyAlignment="1">
      <alignment wrapText="1"/>
    </xf>
    <xf numFmtId="0" fontId="0" fillId="8" borderId="4" xfId="0" applyFill="1" applyBorder="1" applyAlignment="1" applyProtection="1">
      <alignment horizontal="center" vertical="center"/>
    </xf>
    <xf numFmtId="0" fontId="0" fillId="8" borderId="6" xfId="0" applyFill="1" applyBorder="1" applyAlignment="1" applyProtection="1">
      <alignment horizontal="center" vertical="center"/>
    </xf>
    <xf numFmtId="49" fontId="0" fillId="6" borderId="4" xfId="0" applyNumberFormat="1" applyFill="1" applyBorder="1" applyAlignment="1" applyProtection="1">
      <alignment horizontal="center" vertical="center"/>
      <protection locked="0"/>
    </xf>
    <xf numFmtId="49" fontId="0" fillId="6" borderId="6" xfId="0" applyNumberFormat="1" applyFill="1" applyBorder="1" applyAlignment="1" applyProtection="1">
      <alignment horizontal="center" vertical="center"/>
      <protection locked="0"/>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0" fontId="24" fillId="8" borderId="4" xfId="0" applyFont="1" applyFill="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5" fillId="3" borderId="3" xfId="0" applyFont="1" applyFill="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wrapText="1"/>
    </xf>
    <xf numFmtId="0" fontId="11" fillId="9" borderId="4" xfId="0" applyFont="1" applyFill="1" applyBorder="1" applyAlignment="1">
      <alignment horizontal="center" vertical="center"/>
    </xf>
    <xf numFmtId="0" fontId="11" fillId="9" borderId="5" xfId="0" applyFont="1" applyFill="1" applyBorder="1" applyAlignment="1">
      <alignment horizontal="center" vertical="center"/>
    </xf>
    <xf numFmtId="0" fontId="0" fillId="9" borderId="6" xfId="0" applyFill="1" applyBorder="1" applyAlignment="1"/>
    <xf numFmtId="0" fontId="0" fillId="6" borderId="5"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0" fillId="6" borderId="10" xfId="0" applyFill="1" applyBorder="1" applyAlignment="1" applyProtection="1">
      <alignment horizontal="left" vertical="center"/>
      <protection locked="0"/>
    </xf>
    <xf numFmtId="0" fontId="0" fillId="6" borderId="8" xfId="0" applyFill="1" applyBorder="1" applyAlignment="1" applyProtection="1">
      <alignment horizontal="left" vertical="center"/>
      <protection locked="0"/>
    </xf>
    <xf numFmtId="0" fontId="0" fillId="6" borderId="11" xfId="0" applyFill="1" applyBorder="1" applyAlignment="1" applyProtection="1">
      <alignment horizontal="left" vertical="center"/>
      <protection locked="0"/>
    </xf>
    <xf numFmtId="0" fontId="0" fillId="6" borderId="5" xfId="0" applyFill="1" applyBorder="1" applyAlignment="1" applyProtection="1">
      <alignment wrapText="1"/>
      <protection locked="0"/>
    </xf>
    <xf numFmtId="0" fontId="0" fillId="6" borderId="5" xfId="0" applyFill="1" applyBorder="1" applyAlignment="1" applyProtection="1">
      <protection locked="0"/>
    </xf>
    <xf numFmtId="0" fontId="0" fillId="6" borderId="5" xfId="0" applyFill="1" applyBorder="1" applyProtection="1">
      <protection locked="0"/>
    </xf>
    <xf numFmtId="0" fontId="0" fillId="6" borderId="9" xfId="0" applyFill="1" applyBorder="1" applyAlignment="1" applyProtection="1">
      <protection locked="0"/>
    </xf>
    <xf numFmtId="0" fontId="48" fillId="9" borderId="0" xfId="0" applyFont="1" applyFill="1" applyAlignment="1">
      <alignment horizontal="center" wrapText="1"/>
    </xf>
    <xf numFmtId="0" fontId="48" fillId="0" borderId="0" xfId="0" applyFont="1" applyAlignment="1">
      <alignment horizontal="center" wrapText="1"/>
    </xf>
    <xf numFmtId="0" fontId="0" fillId="9" borderId="0" xfId="0" applyFill="1" applyBorder="1" applyAlignment="1"/>
    <xf numFmtId="0" fontId="0" fillId="0" borderId="0" xfId="0" applyBorder="1" applyAlignment="1"/>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4" fillId="3" borderId="10" xfId="0" applyFont="1" applyFill="1" applyBorder="1" applyAlignment="1">
      <alignment horizontal="left" vertical="top" wrapText="1"/>
    </xf>
    <xf numFmtId="0" fontId="0" fillId="0" borderId="7" xfId="0" applyBorder="1" applyAlignment="1">
      <alignment wrapText="1"/>
    </xf>
    <xf numFmtId="0" fontId="0" fillId="0" borderId="0" xfId="0" applyAlignment="1">
      <alignment wrapText="1"/>
    </xf>
    <xf numFmtId="0" fontId="0" fillId="0" borderId="12" xfId="0" applyBorder="1" applyAlignment="1">
      <alignment wrapText="1"/>
    </xf>
    <xf numFmtId="0" fontId="4" fillId="8" borderId="3" xfId="0" applyFont="1" applyFill="1" applyBorder="1" applyAlignment="1">
      <alignment vertical="center" wrapText="1"/>
    </xf>
    <xf numFmtId="0" fontId="0" fillId="8" borderId="3" xfId="0" applyFill="1" applyBorder="1" applyAlignment="1">
      <alignment vertical="center" wrapText="1"/>
    </xf>
    <xf numFmtId="0" fontId="0" fillId="8" borderId="3" xfId="0" applyFill="1" applyBorder="1" applyAlignment="1">
      <alignment wrapText="1"/>
    </xf>
    <xf numFmtId="0" fontId="5" fillId="9" borderId="0" xfId="0" applyFont="1" applyFill="1" applyAlignment="1">
      <alignment horizontal="center"/>
    </xf>
    <xf numFmtId="0" fontId="0" fillId="9" borderId="0" xfId="0" applyFill="1" applyAlignment="1">
      <alignment horizontal="center"/>
    </xf>
    <xf numFmtId="0" fontId="0" fillId="0" borderId="0" xfId="0" applyAlignment="1"/>
    <xf numFmtId="0" fontId="14" fillId="9" borderId="0" xfId="0" applyFont="1" applyFill="1" applyAlignment="1">
      <alignment horizontal="center" vertical="center"/>
    </xf>
    <xf numFmtId="0" fontId="0" fillId="9" borderId="0" xfId="0" applyFont="1" applyFill="1" applyAlignment="1">
      <alignment horizontal="center"/>
    </xf>
    <xf numFmtId="0" fontId="0" fillId="0" borderId="0" xfId="0" applyFont="1" applyAlignment="1"/>
    <xf numFmtId="0" fontId="0" fillId="0" borderId="0" xfId="0" applyFont="1" applyAlignment="1">
      <alignment horizontal="center"/>
    </xf>
    <xf numFmtId="0" fontId="6" fillId="9" borderId="0" xfId="0" applyFont="1" applyFill="1" applyAlignment="1">
      <alignment horizontal="center" vertical="center"/>
    </xf>
    <xf numFmtId="0" fontId="62" fillId="9" borderId="7" xfId="0" applyFont="1" applyFill="1" applyBorder="1" applyAlignment="1" applyProtection="1">
      <alignment horizontal="center" wrapText="1"/>
    </xf>
    <xf numFmtId="0" fontId="62" fillId="0" borderId="0" xfId="0" applyFont="1" applyBorder="1" applyAlignment="1" applyProtection="1">
      <alignment horizontal="center" wrapText="1"/>
    </xf>
    <xf numFmtId="0" fontId="62" fillId="0" borderId="12" xfId="0" applyFont="1" applyBorder="1" applyAlignment="1" applyProtection="1">
      <alignment horizontal="center" wrapText="1"/>
    </xf>
    <xf numFmtId="0" fontId="62" fillId="9" borderId="13" xfId="0" applyFont="1" applyFill="1" applyBorder="1" applyAlignment="1" applyProtection="1">
      <alignment horizontal="center" wrapText="1"/>
    </xf>
    <xf numFmtId="0" fontId="62" fillId="0" borderId="9" xfId="0" applyFont="1" applyBorder="1" applyAlignment="1" applyProtection="1">
      <alignment horizontal="center" wrapText="1"/>
    </xf>
    <xf numFmtId="0" fontId="62" fillId="0" borderId="14" xfId="0" applyFont="1" applyBorder="1" applyAlignment="1" applyProtection="1">
      <alignment horizontal="center" wrapText="1"/>
    </xf>
    <xf numFmtId="0" fontId="62" fillId="9" borderId="10" xfId="0" applyFont="1" applyFill="1" applyBorder="1" applyAlignment="1" applyProtection="1">
      <alignment horizontal="center" wrapText="1"/>
    </xf>
    <xf numFmtId="0" fontId="62" fillId="0" borderId="8" xfId="0" applyFont="1" applyBorder="1" applyAlignment="1" applyProtection="1">
      <alignment horizontal="center" wrapText="1"/>
    </xf>
    <xf numFmtId="0" fontId="62" fillId="0" borderId="11" xfId="0" applyFont="1" applyBorder="1" applyAlignment="1" applyProtection="1">
      <alignment horizontal="center" wrapText="1"/>
    </xf>
    <xf numFmtId="0" fontId="14" fillId="9" borderId="7" xfId="0" applyFont="1" applyFill="1" applyBorder="1" applyAlignment="1" applyProtection="1">
      <alignment horizontal="center"/>
      <protection locked="0"/>
    </xf>
    <xf numFmtId="0" fontId="14" fillId="0" borderId="12" xfId="0" applyFont="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9" xfId="0" applyFont="1" applyFill="1" applyBorder="1" applyAlignment="1" applyProtection="1">
      <alignment horizontal="center"/>
      <protection locked="0"/>
    </xf>
    <xf numFmtId="0" fontId="14" fillId="0" borderId="14" xfId="0" applyFont="1" applyBorder="1" applyAlignment="1" applyProtection="1">
      <alignment horizontal="center"/>
      <protection locked="0"/>
    </xf>
    <xf numFmtId="0" fontId="14" fillId="9" borderId="10" xfId="0" applyFont="1" applyFill="1" applyBorder="1" applyAlignment="1" applyProtection="1">
      <alignment horizontal="center"/>
      <protection locked="0"/>
    </xf>
    <xf numFmtId="0" fontId="14" fillId="0" borderId="11" xfId="0" applyFont="1" applyBorder="1" applyAlignment="1" applyProtection="1">
      <alignment horizontal="center"/>
      <protection locked="0"/>
    </xf>
    <xf numFmtId="0" fontId="14" fillId="9" borderId="7" xfId="0" applyFont="1" applyFill="1" applyBorder="1" applyAlignment="1" applyProtection="1">
      <alignment horizontal="left" wrapText="1"/>
      <protection locked="0"/>
    </xf>
    <xf numFmtId="0" fontId="14" fillId="9" borderId="12" xfId="0" applyFont="1" applyFill="1" applyBorder="1" applyAlignment="1" applyProtection="1">
      <alignment horizontal="left" wrapText="1"/>
      <protection locked="0"/>
    </xf>
    <xf numFmtId="0" fontId="14" fillId="9" borderId="13" xfId="0" applyFont="1" applyFill="1" applyBorder="1" applyAlignment="1" applyProtection="1">
      <alignment horizontal="left" wrapText="1"/>
      <protection locked="0"/>
    </xf>
    <xf numFmtId="0" fontId="14" fillId="9" borderId="14" xfId="0" applyFont="1" applyFill="1" applyBorder="1" applyAlignment="1" applyProtection="1">
      <alignment horizontal="left" wrapText="1"/>
      <protection locked="0"/>
    </xf>
    <xf numFmtId="0" fontId="14" fillId="9" borderId="13" xfId="0" applyFont="1" applyFill="1" applyBorder="1" applyAlignment="1" applyProtection="1">
      <alignment horizontal="center"/>
      <protection locked="0"/>
    </xf>
    <xf numFmtId="0" fontId="14" fillId="9" borderId="10" xfId="0" applyFont="1" applyFill="1" applyBorder="1" applyAlignment="1" applyProtection="1">
      <alignment horizontal="left" wrapText="1"/>
      <protection locked="0"/>
    </xf>
    <xf numFmtId="0" fontId="14" fillId="0" borderId="11" xfId="0" applyFont="1" applyBorder="1" applyAlignment="1" applyProtection="1">
      <alignment horizontal="left" wrapText="1"/>
      <protection locked="0"/>
    </xf>
    <xf numFmtId="0" fontId="14" fillId="9" borderId="7" xfId="0" applyFont="1" applyFill="1" applyBorder="1" applyAlignment="1" applyProtection="1">
      <alignment wrapText="1"/>
      <protection locked="0"/>
    </xf>
    <xf numFmtId="0" fontId="14" fillId="0" borderId="12" xfId="0" applyFont="1" applyBorder="1" applyAlignment="1" applyProtection="1">
      <alignment wrapText="1"/>
      <protection locked="0"/>
    </xf>
    <xf numFmtId="0" fontId="14" fillId="9" borderId="13" xfId="0" applyFont="1" applyFill="1" applyBorder="1" applyAlignment="1" applyProtection="1">
      <alignment wrapText="1"/>
      <protection locked="0"/>
    </xf>
    <xf numFmtId="0" fontId="14" fillId="0" borderId="14" xfId="0" applyFont="1" applyBorder="1" applyAlignment="1" applyProtection="1">
      <alignment wrapText="1"/>
      <protection locked="0"/>
    </xf>
    <xf numFmtId="0" fontId="27" fillId="9" borderId="15"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26" fillId="6" borderId="10"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4" fillId="9" borderId="10" xfId="0" applyFont="1" applyFill="1" applyBorder="1" applyAlignment="1">
      <alignment vertical="center" wrapText="1"/>
    </xf>
    <xf numFmtId="0" fontId="0" fillId="9" borderId="8" xfId="0" applyFill="1"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9" borderId="13" xfId="0" applyFill="1" applyBorder="1" applyAlignment="1">
      <alignment vertical="center" wrapText="1"/>
    </xf>
    <xf numFmtId="0" fontId="0" fillId="9" borderId="9" xfId="0" applyFill="1"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27" fillId="9" borderId="3" xfId="0" applyFont="1" applyFill="1" applyBorder="1" applyAlignment="1">
      <alignment horizontal="left" wrapText="1"/>
    </xf>
    <xf numFmtId="0" fontId="27" fillId="9" borderId="15" xfId="0" applyFont="1" applyFill="1" applyBorder="1" applyAlignment="1">
      <alignment horizontal="center" wrapText="1"/>
    </xf>
    <xf numFmtId="0" fontId="27" fillId="0" borderId="15" xfId="0" applyFont="1" applyBorder="1" applyAlignment="1">
      <alignment horizontal="center" wrapText="1"/>
    </xf>
    <xf numFmtId="0" fontId="27" fillId="0" borderId="3" xfId="0" applyFont="1" applyBorder="1" applyAlignment="1">
      <alignment horizontal="center" wrapText="1"/>
    </xf>
    <xf numFmtId="0" fontId="27" fillId="9" borderId="10" xfId="0" applyFont="1" applyFill="1" applyBorder="1" applyAlignment="1">
      <alignment horizontal="center" wrapText="1"/>
    </xf>
    <xf numFmtId="0" fontId="27" fillId="0" borderId="8" xfId="0" applyFont="1" applyBorder="1" applyAlignment="1">
      <alignment horizontal="center" wrapText="1"/>
    </xf>
    <xf numFmtId="0" fontId="27" fillId="0" borderId="11" xfId="0" applyFont="1" applyBorder="1" applyAlignment="1">
      <alignment horizontal="center" wrapText="1"/>
    </xf>
    <xf numFmtId="0" fontId="27" fillId="0" borderId="13" xfId="0" applyFont="1" applyBorder="1" applyAlignment="1">
      <alignment horizontal="center" wrapText="1"/>
    </xf>
    <xf numFmtId="0" fontId="27" fillId="0" borderId="9" xfId="0" applyFont="1" applyBorder="1" applyAlignment="1">
      <alignment horizontal="center" wrapText="1"/>
    </xf>
    <xf numFmtId="0" fontId="27" fillId="0" borderId="14" xfId="0" applyFont="1" applyBorder="1" applyAlignment="1">
      <alignment horizontal="center" wrapText="1"/>
    </xf>
    <xf numFmtId="0" fontId="35" fillId="7" borderId="13"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18" fillId="4" borderId="0" xfId="0" applyFont="1" applyFill="1" applyBorder="1" applyAlignment="1">
      <alignment horizontal="center" wrapText="1"/>
    </xf>
    <xf numFmtId="0" fontId="22" fillId="5" borderId="0" xfId="0" applyFont="1" applyFill="1" applyBorder="1" applyAlignment="1">
      <alignment horizontal="center" wrapText="1"/>
    </xf>
    <xf numFmtId="0" fontId="16" fillId="15" borderId="0" xfId="0" applyFont="1" applyFill="1" applyBorder="1" applyAlignment="1">
      <alignment horizontal="center" wrapText="1"/>
    </xf>
    <xf numFmtId="0" fontId="3" fillId="15" borderId="0" xfId="0" applyFont="1" applyFill="1" applyAlignment="1">
      <alignment wrapText="1"/>
    </xf>
    <xf numFmtId="0" fontId="3" fillId="15" borderId="0" xfId="0" applyFont="1" applyFill="1" applyAlignment="1">
      <alignment horizontal="center" wrapText="1"/>
    </xf>
    <xf numFmtId="0" fontId="19" fillId="15" borderId="32" xfId="2" applyFont="1" applyFill="1" applyBorder="1" applyAlignment="1">
      <alignment horizontal="center" wrapText="1"/>
    </xf>
    <xf numFmtId="0" fontId="19" fillId="15" borderId="0" xfId="2" applyFont="1" applyFill="1" applyBorder="1" applyAlignment="1">
      <alignment horizontal="center" wrapText="1"/>
    </xf>
    <xf numFmtId="0" fontId="25" fillId="0" borderId="0" xfId="0" applyFont="1" applyAlignment="1">
      <alignment horizontal="center" wrapText="1"/>
    </xf>
    <xf numFmtId="0" fontId="7" fillId="6" borderId="33" xfId="2" applyFont="1" applyFill="1" applyBorder="1" applyAlignment="1">
      <alignment horizontal="left" vertical="center" wrapText="1"/>
    </xf>
    <xf numFmtId="0" fontId="7" fillId="6" borderId="18" xfId="2" applyFont="1" applyFill="1" applyBorder="1" applyAlignment="1">
      <alignment horizontal="left" vertical="center" wrapText="1"/>
    </xf>
    <xf numFmtId="0" fontId="7" fillId="6" borderId="19" xfId="2" applyFont="1" applyFill="1" applyBorder="1" applyAlignment="1">
      <alignment horizontal="left" vertical="center" wrapText="1"/>
    </xf>
    <xf numFmtId="0" fontId="7" fillId="0" borderId="33" xfId="2" applyFont="1" applyFill="1" applyBorder="1" applyAlignment="1" applyProtection="1">
      <alignment horizontal="center" vertical="center"/>
      <protection locked="0"/>
    </xf>
    <xf numFmtId="0" fontId="7" fillId="0" borderId="18" xfId="2" applyFont="1" applyFill="1" applyBorder="1" applyAlignment="1" applyProtection="1">
      <alignment horizontal="center" vertical="center"/>
      <protection locked="0"/>
    </xf>
    <xf numFmtId="0" fontId="7" fillId="0" borderId="19" xfId="2" applyFont="1" applyFill="1" applyBorder="1" applyAlignment="1" applyProtection="1">
      <alignment horizontal="center" vertical="center"/>
      <protection locked="0"/>
    </xf>
    <xf numFmtId="44" fontId="7" fillId="9" borderId="33" xfId="1" applyFont="1" applyFill="1" applyBorder="1" applyAlignment="1">
      <alignment horizontal="center" vertical="center"/>
    </xf>
    <xf numFmtId="44" fontId="7" fillId="9" borderId="18" xfId="1" applyFont="1" applyFill="1" applyBorder="1" applyAlignment="1">
      <alignment horizontal="center" vertical="center"/>
    </xf>
    <xf numFmtId="44" fontId="7" fillId="9" borderId="19" xfId="1" applyFont="1" applyFill="1" applyBorder="1" applyAlignment="1">
      <alignment horizontal="center" vertical="center"/>
    </xf>
    <xf numFmtId="0" fontId="7" fillId="6" borderId="17" xfId="2" applyFont="1" applyFill="1" applyBorder="1" applyAlignment="1">
      <alignment horizontal="left" vertical="center" wrapText="1"/>
    </xf>
    <xf numFmtId="0" fontId="7" fillId="0" borderId="17" xfId="2" applyFont="1" applyFill="1" applyBorder="1" applyAlignment="1" applyProtection="1">
      <alignment horizontal="center" vertical="center"/>
      <protection locked="0"/>
    </xf>
    <xf numFmtId="44" fontId="7" fillId="9" borderId="17" xfId="1" applyNumberFormat="1" applyFont="1" applyFill="1" applyBorder="1" applyAlignment="1">
      <alignment horizontal="center" vertical="center"/>
    </xf>
    <xf numFmtId="44" fontId="7" fillId="9" borderId="18" xfId="1" applyNumberFormat="1" applyFont="1" applyFill="1" applyBorder="1" applyAlignment="1">
      <alignment horizontal="center" vertical="center"/>
    </xf>
    <xf numFmtId="44" fontId="7" fillId="9" borderId="19" xfId="1" applyNumberFormat="1" applyFont="1" applyFill="1" applyBorder="1" applyAlignment="1">
      <alignment horizontal="center" vertical="center"/>
    </xf>
    <xf numFmtId="0" fontId="46" fillId="0" borderId="4" xfId="2" applyFont="1" applyFill="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7" fillId="0" borderId="0" xfId="0" applyFont="1" applyAlignment="1">
      <alignment wrapText="1"/>
    </xf>
    <xf numFmtId="43" fontId="7" fillId="8" borderId="33" xfId="1" applyNumberFormat="1" applyFont="1" applyFill="1" applyBorder="1" applyAlignment="1">
      <alignment horizontal="center" vertical="center"/>
    </xf>
    <xf numFmtId="43" fontId="7" fillId="8" borderId="18" xfId="1" applyNumberFormat="1" applyFont="1" applyFill="1" applyBorder="1" applyAlignment="1">
      <alignment horizontal="center" vertical="center"/>
    </xf>
    <xf numFmtId="43" fontId="7" fillId="8" borderId="19" xfId="1" applyNumberFormat="1" applyFont="1" applyFill="1" applyBorder="1" applyAlignment="1">
      <alignment horizontal="center" vertical="center"/>
    </xf>
    <xf numFmtId="43" fontId="7" fillId="8" borderId="3" xfId="0" applyNumberFormat="1" applyFont="1" applyFill="1" applyBorder="1" applyAlignment="1"/>
    <xf numFmtId="43" fontId="0" fillId="8" borderId="3" xfId="0" applyNumberFormat="1" applyFill="1" applyBorder="1" applyAlignment="1"/>
    <xf numFmtId="0" fontId="46" fillId="9" borderId="10" xfId="2" applyFont="1" applyFill="1" applyBorder="1" applyAlignment="1" applyProtection="1">
      <alignment horizontal="left" vertical="top"/>
      <protection locked="0"/>
    </xf>
    <xf numFmtId="0" fontId="15" fillId="9" borderId="8" xfId="0" applyFont="1" applyFill="1" applyBorder="1" applyAlignment="1">
      <alignment horizontal="left" vertical="top"/>
    </xf>
    <xf numFmtId="0" fontId="15" fillId="9" borderId="11" xfId="0" applyFont="1" applyFill="1" applyBorder="1" applyAlignment="1">
      <alignment horizontal="left" vertical="top"/>
    </xf>
    <xf numFmtId="0" fontId="7" fillId="0" borderId="8" xfId="0" applyFont="1" applyBorder="1" applyAlignment="1"/>
    <xf numFmtId="0" fontId="0" fillId="0" borderId="8" xfId="0" applyBorder="1" applyAlignment="1"/>
    <xf numFmtId="0" fontId="46" fillId="9" borderId="4" xfId="2" applyFont="1" applyFill="1" applyBorder="1" applyAlignment="1" applyProtection="1">
      <alignment horizontal="left" vertical="top"/>
      <protection locked="0"/>
    </xf>
    <xf numFmtId="0" fontId="15" fillId="9" borderId="5" xfId="0" applyFont="1" applyFill="1" applyBorder="1" applyAlignment="1">
      <alignment horizontal="left" vertical="top"/>
    </xf>
    <xf numFmtId="0" fontId="15" fillId="9" borderId="6" xfId="0" applyFont="1" applyFill="1" applyBorder="1" applyAlignment="1">
      <alignment horizontal="left" vertical="top"/>
    </xf>
    <xf numFmtId="0" fontId="0" fillId="9" borderId="0" xfId="0" applyFill="1" applyAlignment="1">
      <alignment wrapText="1"/>
    </xf>
    <xf numFmtId="0" fontId="0" fillId="9" borderId="0" xfId="0" applyFill="1" applyAlignment="1">
      <alignment horizontal="left" vertical="center" wrapText="1"/>
    </xf>
    <xf numFmtId="0" fontId="0" fillId="9" borderId="0" xfId="0" applyFill="1" applyAlignment="1">
      <alignment vertical="center" wrapText="1"/>
    </xf>
    <xf numFmtId="0" fontId="26" fillId="7" borderId="0" xfId="0" applyFont="1" applyFill="1" applyBorder="1" applyAlignment="1">
      <alignment horizontal="center" vertical="center"/>
    </xf>
    <xf numFmtId="0" fontId="0" fillId="7" borderId="0" xfId="0" applyFill="1" applyBorder="1" applyAlignment="1">
      <alignment vertical="center"/>
    </xf>
    <xf numFmtId="0" fontId="28" fillId="9" borderId="0" xfId="0" applyFont="1" applyFill="1" applyBorder="1" applyAlignment="1">
      <alignment horizontal="left" vertical="center" wrapText="1"/>
    </xf>
    <xf numFmtId="0" fontId="29" fillId="9" borderId="0" xfId="0" applyFont="1" applyFill="1" applyBorder="1" applyAlignment="1">
      <alignment vertical="center" wrapText="1"/>
    </xf>
    <xf numFmtId="0" fontId="29" fillId="9" borderId="2" xfId="0" applyFont="1" applyFill="1" applyBorder="1" applyAlignment="1">
      <alignment vertical="center" wrapText="1"/>
    </xf>
    <xf numFmtId="0" fontId="0" fillId="9" borderId="0" xfId="0" applyFont="1" applyFill="1" applyAlignment="1">
      <alignment vertical="center" wrapText="1"/>
    </xf>
    <xf numFmtId="0" fontId="0" fillId="9" borderId="0" xfId="0" applyFill="1" applyAlignment="1">
      <alignment horizontal="left" vertical="top" wrapText="1"/>
    </xf>
    <xf numFmtId="0" fontId="0" fillId="0" borderId="0" xfId="0" applyAlignment="1">
      <alignment horizontal="left" vertical="top" wrapText="1"/>
    </xf>
    <xf numFmtId="0" fontId="26" fillId="7" borderId="2" xfId="0" applyFont="1" applyFill="1" applyBorder="1" applyAlignment="1">
      <alignment horizontal="center" vertical="center"/>
    </xf>
    <xf numFmtId="0" fontId="0" fillId="0" borderId="2" xfId="0" applyBorder="1" applyAlignment="1"/>
    <xf numFmtId="0" fontId="10" fillId="13" borderId="25" xfId="0" applyFont="1" applyFill="1" applyBorder="1" applyAlignment="1">
      <alignment wrapText="1"/>
    </xf>
    <xf numFmtId="0" fontId="10" fillId="13" borderId="22" xfId="0" applyFont="1" applyFill="1" applyBorder="1" applyAlignment="1">
      <alignment wrapText="1"/>
    </xf>
    <xf numFmtId="0" fontId="10" fillId="13" borderId="9" xfId="0" applyFont="1" applyFill="1" applyBorder="1" applyAlignment="1">
      <alignment wrapText="1"/>
    </xf>
    <xf numFmtId="0" fontId="10" fillId="14" borderId="29" xfId="0" applyFont="1" applyFill="1" applyBorder="1" applyAlignment="1"/>
    <xf numFmtId="0" fontId="0" fillId="0" borderId="35" xfId="0" applyBorder="1" applyAlignment="1"/>
    <xf numFmtId="0" fontId="3" fillId="14" borderId="10" xfId="0" applyFont="1" applyFill="1" applyBorder="1" applyAlignment="1">
      <alignment horizontal="center"/>
    </xf>
    <xf numFmtId="0" fontId="3" fillId="14" borderId="8" xfId="0" applyFont="1" applyFill="1" applyBorder="1" applyAlignment="1">
      <alignment horizontal="center"/>
    </xf>
    <xf numFmtId="0" fontId="14" fillId="9" borderId="10" xfId="0" applyFont="1" applyFill="1" applyBorder="1" applyAlignment="1" applyProtection="1">
      <alignment horizontal="left" vertical="top" wrapText="1"/>
      <protection locked="0"/>
    </xf>
    <xf numFmtId="0" fontId="14" fillId="9" borderId="8" xfId="0" applyFont="1" applyFill="1" applyBorder="1" applyAlignment="1" applyProtection="1">
      <alignment horizontal="left" vertical="top" wrapText="1"/>
      <protection locked="0"/>
    </xf>
    <xf numFmtId="0" fontId="14" fillId="0" borderId="11" xfId="0" applyFont="1" applyBorder="1" applyAlignment="1" applyProtection="1">
      <alignment wrapText="1"/>
      <protection locked="0"/>
    </xf>
    <xf numFmtId="0" fontId="14" fillId="9" borderId="7" xfId="0" applyFont="1" applyFill="1" applyBorder="1" applyAlignment="1" applyProtection="1">
      <alignment horizontal="left" vertical="top" wrapText="1"/>
      <protection locked="0"/>
    </xf>
    <xf numFmtId="0" fontId="14" fillId="9" borderId="0" xfId="0" applyFont="1" applyFill="1" applyBorder="1" applyAlignment="1" applyProtection="1">
      <alignment horizontal="left" vertical="top" wrapText="1"/>
      <protection locked="0"/>
    </xf>
    <xf numFmtId="0" fontId="14" fillId="9" borderId="13" xfId="0" applyFont="1" applyFill="1" applyBorder="1" applyAlignment="1" applyProtection="1">
      <alignment horizontal="left" vertical="top" wrapText="1"/>
      <protection locked="0"/>
    </xf>
    <xf numFmtId="0" fontId="14" fillId="9" borderId="9" xfId="0" applyFont="1" applyFill="1" applyBorder="1" applyAlignment="1" applyProtection="1">
      <alignment horizontal="left" vertical="top" wrapText="1"/>
      <protection locked="0"/>
    </xf>
    <xf numFmtId="0" fontId="10" fillId="12" borderId="13" xfId="0" applyFont="1" applyFill="1" applyBorder="1" applyAlignment="1">
      <alignment wrapText="1"/>
    </xf>
    <xf numFmtId="0" fontId="10" fillId="0" borderId="9" xfId="0" applyFont="1" applyBorder="1" applyAlignment="1">
      <alignment wrapText="1"/>
    </xf>
    <xf numFmtId="0" fontId="3" fillId="6" borderId="10" xfId="0" applyFont="1" applyFill="1" applyBorder="1" applyAlignment="1">
      <alignment horizontal="center" vertical="center" wrapText="1"/>
    </xf>
    <xf numFmtId="0" fontId="0" fillId="6" borderId="8" xfId="0" applyFill="1" applyBorder="1" applyAlignment="1">
      <alignment wrapText="1"/>
    </xf>
    <xf numFmtId="0" fontId="3" fillId="6" borderId="56" xfId="0" applyFont="1" applyFill="1" applyBorder="1" applyAlignment="1">
      <alignment horizontal="center" wrapText="1"/>
    </xf>
    <xf numFmtId="0" fontId="0" fillId="0" borderId="57" xfId="0" applyBorder="1" applyAlignment="1">
      <alignment horizontal="center" wrapText="1"/>
    </xf>
    <xf numFmtId="0" fontId="10" fillId="6" borderId="9" xfId="0" applyFont="1" applyFill="1" applyBorder="1" applyAlignment="1">
      <alignment horizontal="left"/>
    </xf>
    <xf numFmtId="0" fontId="0" fillId="0" borderId="9" xfId="0" applyFont="1" applyBorder="1" applyAlignment="1">
      <alignment horizontal="left"/>
    </xf>
    <xf numFmtId="0" fontId="0" fillId="0" borderId="0" xfId="0" applyFont="1" applyBorder="1" applyAlignment="1">
      <alignment horizontal="left"/>
    </xf>
    <xf numFmtId="0" fontId="3" fillId="12" borderId="13" xfId="0" applyFont="1" applyFill="1" applyBorder="1" applyAlignment="1">
      <alignment horizontal="center" wrapText="1"/>
    </xf>
    <xf numFmtId="0" fontId="0" fillId="0" borderId="14" xfId="0" applyBorder="1" applyAlignment="1">
      <alignment horizontal="center" wrapText="1"/>
    </xf>
    <xf numFmtId="0" fontId="14" fillId="0" borderId="10" xfId="0" applyFont="1" applyBorder="1" applyAlignment="1" applyProtection="1">
      <alignment wrapText="1"/>
      <protection locked="0"/>
    </xf>
    <xf numFmtId="0" fontId="14" fillId="0" borderId="7" xfId="0" applyFont="1" applyBorder="1" applyAlignment="1" applyProtection="1">
      <alignment wrapText="1"/>
      <protection locked="0"/>
    </xf>
    <xf numFmtId="0" fontId="0" fillId="0" borderId="0" xfId="0" applyBorder="1" applyAlignment="1" applyProtection="1">
      <alignment wrapText="1"/>
      <protection locked="0"/>
    </xf>
    <xf numFmtId="0" fontId="0" fillId="0" borderId="8" xfId="0" applyFill="1" applyBorder="1" applyAlignment="1" applyProtection="1">
      <protection locked="0"/>
    </xf>
    <xf numFmtId="0" fontId="0" fillId="0" borderId="8" xfId="0" applyBorder="1" applyAlignment="1" applyProtection="1">
      <protection locked="0"/>
    </xf>
    <xf numFmtId="0" fontId="0" fillId="0" borderId="11" xfId="0" applyBorder="1" applyAlignment="1" applyProtection="1">
      <protection locked="0"/>
    </xf>
    <xf numFmtId="0" fontId="0" fillId="0" borderId="7" xfId="0" applyBorder="1" applyAlignment="1" applyProtection="1">
      <alignment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9" xfId="0" applyBorder="1" applyAlignment="1" applyProtection="1">
      <alignment wrapText="1"/>
      <protection locked="0"/>
    </xf>
    <xf numFmtId="0" fontId="0" fillId="0" borderId="14" xfId="0" applyBorder="1" applyAlignment="1" applyProtection="1">
      <alignment wrapText="1"/>
      <protection locked="0"/>
    </xf>
    <xf numFmtId="0" fontId="0" fillId="8" borderId="10" xfId="0" applyFill="1" applyBorder="1" applyAlignment="1"/>
    <xf numFmtId="0" fontId="0" fillId="0" borderId="11" xfId="0" applyBorder="1" applyAlignment="1"/>
    <xf numFmtId="0" fontId="0" fillId="0" borderId="7" xfId="0" applyBorder="1" applyAlignment="1"/>
    <xf numFmtId="0" fontId="0" fillId="0" borderId="12" xfId="0" applyBorder="1" applyAlignment="1"/>
    <xf numFmtId="0" fontId="0" fillId="0" borderId="13" xfId="0" applyBorder="1" applyAlignment="1"/>
    <xf numFmtId="0" fontId="0" fillId="0" borderId="9" xfId="0" applyBorder="1" applyAlignment="1"/>
    <xf numFmtId="0" fontId="0" fillId="0" borderId="14" xfId="0" applyBorder="1" applyAlignment="1"/>
    <xf numFmtId="0" fontId="14" fillId="0" borderId="13" xfId="0" applyFont="1" applyBorder="1" applyAlignment="1" applyProtection="1">
      <alignment wrapText="1"/>
      <protection locked="0"/>
    </xf>
    <xf numFmtId="0" fontId="14" fillId="0" borderId="9" xfId="0" applyFont="1" applyBorder="1" applyAlignment="1" applyProtection="1">
      <alignment wrapText="1"/>
      <protection locked="0"/>
    </xf>
    <xf numFmtId="0" fontId="14" fillId="0" borderId="0" xfId="0" applyFont="1" applyBorder="1" applyAlignment="1" applyProtection="1">
      <alignment wrapText="1"/>
      <protection locked="0"/>
    </xf>
    <xf numFmtId="0" fontId="0" fillId="0" borderId="0" xfId="0" applyBorder="1" applyAlignment="1" applyProtection="1">
      <protection locked="0"/>
    </xf>
    <xf numFmtId="0" fontId="0" fillId="0" borderId="0" xfId="0" applyFill="1" applyBorder="1" applyAlignment="1" applyProtection="1">
      <protection locked="0"/>
    </xf>
    <xf numFmtId="0" fontId="0" fillId="0" borderId="12" xfId="0" applyBorder="1" applyAlignment="1" applyProtection="1">
      <protection locked="0"/>
    </xf>
    <xf numFmtId="0" fontId="0" fillId="0" borderId="2" xfId="0" applyFill="1" applyBorder="1" applyAlignment="1" applyProtection="1">
      <protection locked="0"/>
    </xf>
    <xf numFmtId="0" fontId="0" fillId="0" borderId="2" xfId="0" applyBorder="1" applyAlignment="1" applyProtection="1">
      <protection locked="0"/>
    </xf>
    <xf numFmtId="0" fontId="0" fillId="0" borderId="28" xfId="0" applyBorder="1" applyAlignment="1" applyProtection="1">
      <protection locked="0"/>
    </xf>
    <xf numFmtId="0" fontId="14" fillId="0" borderId="27" xfId="0" applyFont="1" applyBorder="1" applyAlignment="1" applyProtection="1">
      <alignment wrapText="1"/>
      <protection locked="0"/>
    </xf>
    <xf numFmtId="0" fontId="14" fillId="0" borderId="28" xfId="0" applyFont="1" applyBorder="1" applyAlignment="1" applyProtection="1">
      <alignment wrapText="1"/>
      <protection locked="0"/>
    </xf>
    <xf numFmtId="0" fontId="3" fillId="14" borderId="4" xfId="0" applyFont="1" applyFill="1" applyBorder="1" applyAlignment="1">
      <alignment horizontal="left"/>
    </xf>
    <xf numFmtId="0" fontId="3" fillId="14" borderId="5" xfId="0" applyFont="1" applyFill="1" applyBorder="1" applyAlignment="1">
      <alignment horizontal="left"/>
    </xf>
    <xf numFmtId="0" fontId="0" fillId="0" borderId="6" xfId="0" applyBorder="1" applyAlignment="1">
      <alignment horizontal="left"/>
    </xf>
    <xf numFmtId="0" fontId="3" fillId="13" borderId="4" xfId="0" applyFont="1" applyFill="1" applyBorder="1" applyAlignment="1">
      <alignment horizontal="left"/>
    </xf>
    <xf numFmtId="0" fontId="3" fillId="0" borderId="5" xfId="0" applyFont="1" applyBorder="1" applyAlignment="1">
      <alignment horizontal="left"/>
    </xf>
    <xf numFmtId="0" fontId="41" fillId="0" borderId="0" xfId="0" applyFont="1" applyAlignment="1">
      <alignment horizontal="center"/>
    </xf>
    <xf numFmtId="0" fontId="0" fillId="6" borderId="0" xfId="0" applyFill="1" applyAlignment="1" applyProtection="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41" fillId="0" borderId="0" xfId="0" applyFont="1" applyAlignment="1">
      <alignment horizontal="left"/>
    </xf>
    <xf numFmtId="0" fontId="42" fillId="0" borderId="0" xfId="0" applyFont="1" applyAlignment="1">
      <alignment horizontal="left"/>
    </xf>
  </cellXfs>
  <cellStyles count="4">
    <cellStyle name="Currency" xfId="1" builtinId="4"/>
    <cellStyle name="Hyperlink" xfId="3" builtinId="8"/>
    <cellStyle name="Normal" xfId="0" builtinId="0"/>
    <cellStyle name="Output" xfId="2" builtinId="21"/>
  </cellStyles>
  <dxfs count="6">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ont>
        <color rgb="FFFF0000"/>
      </font>
    </dxf>
  </dxfs>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38100</xdr:rowOff>
    </xdr:from>
    <xdr:to>
      <xdr:col>10</xdr:col>
      <xdr:colOff>731520</xdr:colOff>
      <xdr:row>1</xdr:row>
      <xdr:rowOff>60960</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3180" y="38100"/>
          <a:ext cx="731520" cy="35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60960</xdr:colOff>
      <xdr:row>0</xdr:row>
      <xdr:rowOff>45720</xdr:rowOff>
    </xdr:from>
    <xdr:to>
      <xdr:col>0</xdr:col>
      <xdr:colOff>982980</xdr:colOff>
      <xdr:row>1</xdr:row>
      <xdr:rowOff>15240</xdr:rowOff>
    </xdr:to>
    <xdr:pic>
      <xdr:nvPicPr>
        <xdr:cNvPr id="7" name="Picture 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45720"/>
          <a:ext cx="92202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175260</xdr:colOff>
          <xdr:row>16</xdr:row>
          <xdr:rowOff>0</xdr:rowOff>
        </xdr:from>
        <xdr:to>
          <xdr:col>4</xdr:col>
          <xdr:colOff>594360</xdr:colOff>
          <xdr:row>17</xdr:row>
          <xdr:rowOff>0</xdr:rowOff>
        </xdr:to>
        <xdr:sp macro="" textlink="">
          <xdr:nvSpPr>
            <xdr:cNvPr id="1032" name="Check Box 8" descr="HUP"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HUP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16</xdr:row>
          <xdr:rowOff>22860</xdr:rowOff>
        </xdr:from>
        <xdr:to>
          <xdr:col>5</xdr:col>
          <xdr:colOff>289560</xdr:colOff>
          <xdr:row>16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PPMC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16</xdr:row>
          <xdr:rowOff>53340</xdr:rowOff>
        </xdr:from>
        <xdr:to>
          <xdr:col>6</xdr:col>
          <xdr:colOff>205740</xdr:colOff>
          <xdr:row>16</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18</xdr:row>
          <xdr:rowOff>15240</xdr:rowOff>
        </xdr:from>
        <xdr:to>
          <xdr:col>5</xdr:col>
          <xdr:colOff>441960</xdr:colOff>
          <xdr:row>19</xdr:row>
          <xdr:rowOff>15240</xdr:rowOff>
        </xdr:to>
        <xdr:sp macro="" textlink="">
          <xdr:nvSpPr>
            <xdr:cNvPr id="1036" name="Check Box 12" descr="HUP"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Dulles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18</xdr:row>
          <xdr:rowOff>15240</xdr:rowOff>
        </xdr:from>
        <xdr:to>
          <xdr:col>7</xdr:col>
          <xdr:colOff>281940</xdr:colOff>
          <xdr:row>19</xdr:row>
          <xdr:rowOff>15240</xdr:rowOff>
        </xdr:to>
        <xdr:sp macro="" textlink="">
          <xdr:nvSpPr>
            <xdr:cNvPr id="1038" name="Check Box 14" descr="HUP"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PCAM 4S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18</xdr:row>
          <xdr:rowOff>15240</xdr:rowOff>
        </xdr:from>
        <xdr:to>
          <xdr:col>8</xdr:col>
          <xdr:colOff>396240</xdr:colOff>
          <xdr:row>19</xdr:row>
          <xdr:rowOff>15240</xdr:rowOff>
        </xdr:to>
        <xdr:sp macro="" textlink="">
          <xdr:nvSpPr>
            <xdr:cNvPr id="1039" name="Check Box 15" descr="HUP"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Mutch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175260</xdr:colOff>
          <xdr:row>38</xdr:row>
          <xdr:rowOff>15240</xdr:rowOff>
        </xdr:to>
        <xdr:sp macro="" textlink="">
          <xdr:nvSpPr>
            <xdr:cNvPr id="1040" name="Check Box 16" descr="HUP"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175260</xdr:colOff>
          <xdr:row>39</xdr:row>
          <xdr:rowOff>15240</xdr:rowOff>
        </xdr:to>
        <xdr:sp macro="" textlink="">
          <xdr:nvSpPr>
            <xdr:cNvPr id="1041" name="Check Box 17" descr="HUP"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15240</xdr:rowOff>
        </xdr:from>
        <xdr:to>
          <xdr:col>3</xdr:col>
          <xdr:colOff>175260</xdr:colOff>
          <xdr:row>40</xdr:row>
          <xdr:rowOff>22860</xdr:rowOff>
        </xdr:to>
        <xdr:sp macro="" textlink="">
          <xdr:nvSpPr>
            <xdr:cNvPr id="1042" name="Check Box 18" descr="HUP"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175260</xdr:colOff>
          <xdr:row>41</xdr:row>
          <xdr:rowOff>15240</xdr:rowOff>
        </xdr:to>
        <xdr:sp macro="" textlink="">
          <xdr:nvSpPr>
            <xdr:cNvPr id="1043" name="Check Box 19" descr="HUP"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175260</xdr:rowOff>
        </xdr:from>
        <xdr:to>
          <xdr:col>3</xdr:col>
          <xdr:colOff>175260</xdr:colOff>
          <xdr:row>42</xdr:row>
          <xdr:rowOff>15240</xdr:rowOff>
        </xdr:to>
        <xdr:sp macro="" textlink="">
          <xdr:nvSpPr>
            <xdr:cNvPr id="1044" name="Check Box 20" descr="HUP"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167640</xdr:rowOff>
        </xdr:from>
        <xdr:to>
          <xdr:col>3</xdr:col>
          <xdr:colOff>175260</xdr:colOff>
          <xdr:row>42</xdr:row>
          <xdr:rowOff>175260</xdr:rowOff>
        </xdr:to>
        <xdr:sp macro="" textlink="">
          <xdr:nvSpPr>
            <xdr:cNvPr id="1045" name="Check Box 21" descr="HUP"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42</xdr:row>
          <xdr:rowOff>167640</xdr:rowOff>
        </xdr:from>
        <xdr:to>
          <xdr:col>3</xdr:col>
          <xdr:colOff>175260</xdr:colOff>
          <xdr:row>43</xdr:row>
          <xdr:rowOff>175260</xdr:rowOff>
        </xdr:to>
        <xdr:sp macro="" textlink="">
          <xdr:nvSpPr>
            <xdr:cNvPr id="1046" name="Check Box 22" descr="HUP"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18</xdr:row>
          <xdr:rowOff>22860</xdr:rowOff>
        </xdr:from>
        <xdr:to>
          <xdr:col>5</xdr:col>
          <xdr:colOff>441960</xdr:colOff>
          <xdr:row>19</xdr:row>
          <xdr:rowOff>22860</xdr:rowOff>
        </xdr:to>
        <xdr:sp macro="" textlink="">
          <xdr:nvSpPr>
            <xdr:cNvPr id="1047" name="Check Box 23" descr="HUP"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Dulles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18</xdr:row>
          <xdr:rowOff>22860</xdr:rowOff>
        </xdr:from>
        <xdr:to>
          <xdr:col>7</xdr:col>
          <xdr:colOff>289560</xdr:colOff>
          <xdr:row>19</xdr:row>
          <xdr:rowOff>22860</xdr:rowOff>
        </xdr:to>
        <xdr:sp macro="" textlink="">
          <xdr:nvSpPr>
            <xdr:cNvPr id="1048" name="Check Box 24" descr="HUP"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PCAM 4S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18</xdr:row>
          <xdr:rowOff>22860</xdr:rowOff>
        </xdr:from>
        <xdr:to>
          <xdr:col>8</xdr:col>
          <xdr:colOff>396240</xdr:colOff>
          <xdr:row>19</xdr:row>
          <xdr:rowOff>22860</xdr:rowOff>
        </xdr:to>
        <xdr:sp macro="" textlink="">
          <xdr:nvSpPr>
            <xdr:cNvPr id="1049" name="Check Box 25" descr="HUP"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Mutch</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IDSNorth@pennmedicine.upenn.edu"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PennIDS@pennmedicine.upenn.edu"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www.itmat.upenn.edu/ids.s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0"/>
    <pageSetUpPr fitToPage="1"/>
  </sheetPr>
  <dimension ref="A1:O57"/>
  <sheetViews>
    <sheetView tabSelected="1" zoomScaleNormal="100" workbookViewId="0">
      <selection activeCell="A29" sqref="A29"/>
    </sheetView>
  </sheetViews>
  <sheetFormatPr defaultColWidth="8.77734375" defaultRowHeight="14.4" x14ac:dyDescent="0.3"/>
  <sheetData>
    <row r="1" spans="1:15" x14ac:dyDescent="0.3">
      <c r="A1" s="147" t="s">
        <v>189</v>
      </c>
      <c r="B1" s="3"/>
      <c r="C1" s="3"/>
      <c r="D1" s="3"/>
      <c r="E1" s="3"/>
      <c r="F1" s="3"/>
      <c r="G1" s="3"/>
      <c r="H1" s="3"/>
      <c r="I1" s="3"/>
      <c r="J1" s="3"/>
      <c r="K1" s="3"/>
      <c r="L1" s="3"/>
    </row>
    <row r="2" spans="1:15" x14ac:dyDescent="0.3">
      <c r="A2" s="126"/>
      <c r="B2" s="3"/>
      <c r="C2" s="3"/>
      <c r="D2" s="3"/>
      <c r="E2" s="3"/>
      <c r="F2" s="3"/>
      <c r="G2" s="3"/>
      <c r="H2" s="3"/>
      <c r="I2" s="3"/>
      <c r="J2" s="3"/>
      <c r="K2" s="3"/>
      <c r="L2" s="3"/>
    </row>
    <row r="3" spans="1:15" x14ac:dyDescent="0.3">
      <c r="A3" s="126" t="s">
        <v>205</v>
      </c>
      <c r="B3" s="3"/>
      <c r="C3" s="3"/>
      <c r="D3" s="3"/>
      <c r="E3" s="3"/>
      <c r="F3" s="3"/>
      <c r="G3" s="3"/>
      <c r="H3" s="3"/>
      <c r="I3" s="3"/>
      <c r="J3" s="3"/>
      <c r="K3" s="3"/>
      <c r="L3" s="3"/>
    </row>
    <row r="4" spans="1:15" x14ac:dyDescent="0.3">
      <c r="A4" s="126" t="s">
        <v>190</v>
      </c>
      <c r="B4" s="3"/>
      <c r="C4" s="3"/>
      <c r="D4" s="3"/>
      <c r="E4" s="3"/>
      <c r="F4" s="3"/>
      <c r="G4" s="3"/>
      <c r="H4" s="3"/>
      <c r="I4" s="3"/>
      <c r="J4" s="3"/>
      <c r="K4" s="3"/>
      <c r="L4" s="3"/>
    </row>
    <row r="5" spans="1:15" x14ac:dyDescent="0.3">
      <c r="A5" s="126"/>
      <c r="B5" s="3"/>
      <c r="C5" s="3"/>
      <c r="D5" s="3"/>
      <c r="E5" s="3"/>
      <c r="F5" s="3"/>
      <c r="G5" s="3"/>
      <c r="H5" s="3"/>
      <c r="I5" s="3"/>
      <c r="J5" s="3"/>
      <c r="K5" s="3"/>
      <c r="L5" s="3"/>
    </row>
    <row r="6" spans="1:15" x14ac:dyDescent="0.3">
      <c r="A6" s="326" t="s">
        <v>307</v>
      </c>
      <c r="B6" s="3"/>
      <c r="C6" s="3"/>
      <c r="D6" s="3"/>
      <c r="E6" s="3"/>
      <c r="F6" s="3"/>
      <c r="G6" s="3"/>
      <c r="H6" s="3"/>
      <c r="I6" s="3"/>
      <c r="J6" s="3"/>
      <c r="K6" s="3"/>
      <c r="L6" s="3"/>
    </row>
    <row r="7" spans="1:15" x14ac:dyDescent="0.3">
      <c r="A7" s="127" t="s">
        <v>273</v>
      </c>
      <c r="B7" s="3"/>
      <c r="C7" s="3"/>
      <c r="D7" s="3"/>
      <c r="E7" s="3"/>
      <c r="F7" s="3"/>
      <c r="G7" s="3"/>
      <c r="H7" s="3"/>
      <c r="I7" s="3"/>
      <c r="J7" s="3"/>
      <c r="K7" s="3"/>
      <c r="L7" s="3"/>
    </row>
    <row r="8" spans="1:15" ht="5.4" customHeight="1" x14ac:dyDescent="0.3">
      <c r="A8" s="3"/>
      <c r="B8" s="3"/>
      <c r="C8" s="3"/>
      <c r="D8" s="3"/>
      <c r="E8" s="3"/>
      <c r="F8" s="3"/>
      <c r="G8" s="3"/>
      <c r="H8" s="3"/>
      <c r="I8" s="3"/>
      <c r="J8" s="3"/>
      <c r="K8" s="3"/>
      <c r="L8" s="3"/>
    </row>
    <row r="9" spans="1:15" ht="13.8" customHeight="1" x14ac:dyDescent="0.3">
      <c r="A9" s="145" t="s">
        <v>191</v>
      </c>
      <c r="B9" s="3"/>
      <c r="C9" s="3"/>
      <c r="D9" s="3"/>
      <c r="E9" s="3"/>
      <c r="F9" s="3"/>
      <c r="G9" s="3"/>
      <c r="H9" s="3"/>
      <c r="I9" s="3"/>
      <c r="J9" s="3"/>
      <c r="K9" s="3"/>
      <c r="L9" s="3"/>
    </row>
    <row r="10" spans="1:15" ht="19.8" customHeight="1" x14ac:dyDescent="0.3">
      <c r="A10" s="126" t="s">
        <v>192</v>
      </c>
      <c r="B10" s="3"/>
      <c r="C10" s="3"/>
      <c r="D10" s="3"/>
      <c r="E10" s="3"/>
      <c r="F10" s="3"/>
      <c r="G10" s="3"/>
      <c r="H10" s="3"/>
      <c r="I10" s="3"/>
      <c r="J10" s="3"/>
      <c r="K10" s="3"/>
      <c r="L10" s="3"/>
    </row>
    <row r="11" spans="1:15" x14ac:dyDescent="0.3">
      <c r="A11" s="145" t="s">
        <v>304</v>
      </c>
      <c r="B11" s="3"/>
      <c r="C11" s="3"/>
      <c r="D11" s="3"/>
      <c r="E11" s="3"/>
      <c r="F11" s="3"/>
      <c r="G11" s="3"/>
      <c r="H11" s="3"/>
      <c r="I11" s="3"/>
      <c r="J11" s="3"/>
      <c r="K11" s="3"/>
      <c r="L11" s="3"/>
    </row>
    <row r="12" spans="1:15" ht="17.55" customHeight="1" x14ac:dyDescent="0.3">
      <c r="A12" s="126" t="s">
        <v>303</v>
      </c>
      <c r="B12" s="3"/>
      <c r="C12" s="3"/>
      <c r="D12" s="3"/>
      <c r="E12" s="3"/>
      <c r="F12" s="3"/>
      <c r="G12" s="3"/>
      <c r="H12" s="3"/>
      <c r="I12" s="3"/>
      <c r="J12" s="3"/>
      <c r="K12" s="3"/>
      <c r="L12" s="3"/>
      <c r="O12" s="145"/>
    </row>
    <row r="13" spans="1:15" ht="6" customHeight="1" x14ac:dyDescent="0.3">
      <c r="A13" s="3"/>
      <c r="B13" s="3"/>
      <c r="C13" s="3"/>
      <c r="D13" s="3"/>
      <c r="E13" s="3"/>
      <c r="F13" s="3"/>
      <c r="G13" s="3"/>
      <c r="H13" s="3"/>
      <c r="I13" s="3"/>
      <c r="J13" s="3"/>
      <c r="K13" s="3"/>
      <c r="L13" s="3"/>
      <c r="O13" s="126"/>
    </row>
    <row r="14" spans="1:15" x14ac:dyDescent="0.3">
      <c r="A14" s="146" t="s">
        <v>193</v>
      </c>
      <c r="B14" s="3"/>
      <c r="C14" s="3"/>
      <c r="D14" s="3"/>
      <c r="E14" s="3"/>
      <c r="F14" s="3"/>
      <c r="G14" s="3"/>
      <c r="H14" s="3"/>
      <c r="I14" s="3"/>
      <c r="J14" s="3"/>
      <c r="K14" s="3"/>
      <c r="L14" s="3"/>
    </row>
    <row r="15" spans="1:15" ht="15.45" customHeight="1" x14ac:dyDescent="0.3">
      <c r="A15" s="126" t="s">
        <v>194</v>
      </c>
      <c r="B15" s="3"/>
      <c r="C15" s="3"/>
      <c r="D15" s="3"/>
      <c r="E15" s="3"/>
      <c r="F15" s="3"/>
      <c r="G15" s="3"/>
      <c r="H15" s="3"/>
      <c r="I15" s="3"/>
      <c r="J15" s="3"/>
      <c r="K15" s="3"/>
      <c r="L15" s="3"/>
    </row>
    <row r="16" spans="1:15" x14ac:dyDescent="0.3">
      <c r="A16" s="126" t="s">
        <v>195</v>
      </c>
      <c r="B16" s="3"/>
      <c r="C16" s="3"/>
      <c r="D16" s="3"/>
      <c r="E16" s="3"/>
      <c r="F16" s="3"/>
      <c r="G16" s="3"/>
      <c r="H16" s="3"/>
      <c r="I16" s="3"/>
      <c r="J16" s="3"/>
      <c r="K16" s="3"/>
      <c r="L16" s="3"/>
    </row>
    <row r="17" spans="1:12" ht="6" customHeight="1" x14ac:dyDescent="0.3">
      <c r="A17" s="3"/>
      <c r="B17" s="3"/>
      <c r="C17" s="3"/>
      <c r="D17" s="3"/>
      <c r="E17" s="3"/>
      <c r="F17" s="3"/>
      <c r="G17" s="3"/>
      <c r="H17" s="3"/>
      <c r="I17" s="3"/>
      <c r="J17" s="3"/>
      <c r="K17" s="3"/>
      <c r="L17" s="3"/>
    </row>
    <row r="18" spans="1:12" x14ac:dyDescent="0.3">
      <c r="A18" s="146" t="s">
        <v>196</v>
      </c>
      <c r="B18" s="3"/>
      <c r="C18" s="3"/>
      <c r="D18" s="3"/>
      <c r="E18" s="3"/>
      <c r="F18" s="3"/>
      <c r="G18" s="3"/>
      <c r="H18" s="3"/>
      <c r="I18" s="3"/>
      <c r="J18" s="3"/>
      <c r="K18" s="3"/>
      <c r="L18" s="3"/>
    </row>
    <row r="19" spans="1:12" ht="17.55" customHeight="1" x14ac:dyDescent="0.3">
      <c r="A19" s="126" t="s">
        <v>197</v>
      </c>
      <c r="B19" s="3"/>
      <c r="C19" s="3"/>
      <c r="D19" s="3"/>
      <c r="E19" s="3"/>
      <c r="F19" s="3"/>
      <c r="G19" s="3"/>
      <c r="H19" s="3"/>
      <c r="I19" s="3"/>
      <c r="J19" s="3"/>
      <c r="K19" s="3"/>
      <c r="L19" s="3"/>
    </row>
    <row r="20" spans="1:12" ht="7.2" customHeight="1" x14ac:dyDescent="0.3">
      <c r="A20" s="3"/>
      <c r="B20" s="3"/>
      <c r="C20" s="3"/>
      <c r="D20" s="3"/>
      <c r="E20" s="3"/>
      <c r="F20" s="3"/>
      <c r="G20" s="3"/>
      <c r="H20" s="3"/>
      <c r="I20" s="3"/>
      <c r="J20" s="3"/>
      <c r="K20" s="3"/>
      <c r="L20" s="3"/>
    </row>
    <row r="21" spans="1:12" x14ac:dyDescent="0.3">
      <c r="A21" s="146" t="s">
        <v>80</v>
      </c>
      <c r="B21" s="3"/>
      <c r="C21" s="3"/>
      <c r="D21" s="3"/>
      <c r="E21" s="3"/>
      <c r="F21" s="3"/>
      <c r="G21" s="3"/>
      <c r="H21" s="3"/>
      <c r="I21" s="3"/>
      <c r="J21" s="3"/>
      <c r="K21" s="3"/>
      <c r="L21" s="3"/>
    </row>
    <row r="22" spans="1:12" ht="18" customHeight="1" x14ac:dyDescent="0.3">
      <c r="A22" s="126" t="s">
        <v>264</v>
      </c>
      <c r="B22" s="3"/>
      <c r="C22" s="3"/>
      <c r="D22" s="3"/>
      <c r="E22" s="3"/>
      <c r="F22" s="3"/>
      <c r="G22" s="3"/>
      <c r="H22" s="3"/>
      <c r="I22" s="3"/>
      <c r="J22" s="3"/>
      <c r="K22" s="3"/>
      <c r="L22" s="3"/>
    </row>
    <row r="23" spans="1:12" x14ac:dyDescent="0.3">
      <c r="A23" s="3"/>
      <c r="B23" s="3"/>
      <c r="C23" s="3"/>
      <c r="D23" s="3"/>
      <c r="E23" s="3"/>
      <c r="F23" s="3"/>
      <c r="G23" s="3"/>
      <c r="H23" s="3"/>
      <c r="I23" s="3"/>
      <c r="J23" s="3"/>
      <c r="K23" s="3"/>
      <c r="L23" s="3"/>
    </row>
    <row r="24" spans="1:12" x14ac:dyDescent="0.3">
      <c r="A24" s="146" t="s">
        <v>263</v>
      </c>
      <c r="B24" s="3"/>
      <c r="C24" s="3"/>
      <c r="D24" s="3"/>
      <c r="E24" s="3"/>
      <c r="F24" s="3"/>
      <c r="G24" s="3"/>
      <c r="H24" s="3"/>
      <c r="I24" s="3"/>
      <c r="J24" s="3"/>
      <c r="K24" s="3"/>
      <c r="L24" s="3"/>
    </row>
    <row r="25" spans="1:12" ht="16.8" customHeight="1" x14ac:dyDescent="0.3">
      <c r="A25" s="126" t="s">
        <v>262</v>
      </c>
      <c r="B25" s="3"/>
      <c r="C25" s="3"/>
      <c r="D25" s="3"/>
      <c r="E25" s="3"/>
      <c r="F25" s="3"/>
      <c r="G25" s="3"/>
      <c r="H25" s="3"/>
      <c r="I25" s="3"/>
      <c r="J25" s="3"/>
      <c r="K25" s="3"/>
      <c r="L25" s="3"/>
    </row>
    <row r="26" spans="1:12" x14ac:dyDescent="0.3">
      <c r="A26" s="126" t="s">
        <v>261</v>
      </c>
      <c r="B26" s="3"/>
      <c r="C26" s="3"/>
      <c r="D26" s="3"/>
      <c r="E26" s="3"/>
      <c r="F26" s="3"/>
      <c r="G26" s="3"/>
      <c r="H26" s="3"/>
      <c r="I26" s="3"/>
      <c r="J26" s="3"/>
      <c r="K26" s="3"/>
      <c r="L26" s="3"/>
    </row>
    <row r="27" spans="1:12" ht="7.2" customHeight="1" x14ac:dyDescent="0.3">
      <c r="A27" s="3"/>
      <c r="B27" s="3"/>
      <c r="C27" s="3"/>
      <c r="D27" s="3"/>
      <c r="E27" s="3"/>
      <c r="F27" s="3"/>
      <c r="G27" s="3"/>
      <c r="H27" s="3"/>
      <c r="I27" s="3"/>
      <c r="J27" s="3"/>
      <c r="K27" s="3"/>
      <c r="L27" s="3"/>
    </row>
    <row r="28" spans="1:12" x14ac:dyDescent="0.3">
      <c r="A28" s="302" t="s">
        <v>308</v>
      </c>
      <c r="B28" s="3"/>
      <c r="C28" s="3"/>
      <c r="D28" s="3"/>
      <c r="E28" s="3"/>
      <c r="F28" s="3"/>
      <c r="G28" s="3"/>
      <c r="H28" s="3"/>
      <c r="I28" s="3"/>
      <c r="J28" s="3"/>
      <c r="K28" s="3"/>
      <c r="L28" s="3"/>
    </row>
    <row r="29" spans="1:12" x14ac:dyDescent="0.3">
      <c r="A29" s="3"/>
      <c r="B29" s="3"/>
      <c r="C29" s="3"/>
      <c r="D29" s="3"/>
      <c r="E29" s="3"/>
      <c r="F29" s="3"/>
      <c r="G29" s="3"/>
      <c r="H29" s="3"/>
      <c r="I29" s="3"/>
      <c r="J29" s="3"/>
      <c r="K29" s="3"/>
      <c r="L29" s="3"/>
    </row>
    <row r="30" spans="1:12" x14ac:dyDescent="0.3">
      <c r="A30" s="3"/>
      <c r="B30" s="3"/>
      <c r="C30" s="3"/>
      <c r="D30" s="3"/>
      <c r="E30" s="3"/>
      <c r="F30" s="3"/>
      <c r="G30" s="3"/>
      <c r="H30" s="3"/>
      <c r="I30" s="3"/>
      <c r="J30" s="3"/>
      <c r="K30" s="3"/>
      <c r="L30" s="3"/>
    </row>
    <row r="31" spans="1:12" x14ac:dyDescent="0.3">
      <c r="A31" s="3"/>
      <c r="B31" s="3"/>
      <c r="C31" s="3"/>
      <c r="D31" s="3"/>
      <c r="E31" s="3"/>
      <c r="F31" s="3"/>
      <c r="G31" s="3"/>
      <c r="H31" s="3"/>
      <c r="I31" s="3"/>
      <c r="J31" s="3"/>
      <c r="K31" s="3"/>
      <c r="L31" s="3"/>
    </row>
    <row r="32" spans="1:12" x14ac:dyDescent="0.3">
      <c r="A32" s="3"/>
      <c r="B32" s="3"/>
      <c r="C32" s="3"/>
      <c r="D32" s="3"/>
      <c r="E32" s="3"/>
      <c r="F32" s="3"/>
      <c r="G32" s="3"/>
      <c r="H32" s="3"/>
      <c r="I32" s="3"/>
      <c r="J32" s="3"/>
      <c r="K32" s="3"/>
      <c r="L32" s="3"/>
    </row>
    <row r="33" spans="1:12" x14ac:dyDescent="0.3">
      <c r="A33" s="3"/>
      <c r="B33" s="3"/>
      <c r="C33" s="3"/>
      <c r="D33" s="3"/>
      <c r="E33" s="3"/>
      <c r="F33" s="3"/>
      <c r="G33" s="3"/>
      <c r="H33" s="3"/>
      <c r="I33" s="3"/>
      <c r="J33" s="3"/>
      <c r="K33" s="3"/>
      <c r="L33" s="3"/>
    </row>
    <row r="34" spans="1:12" x14ac:dyDescent="0.3">
      <c r="A34" s="3"/>
      <c r="B34" s="3"/>
      <c r="C34" s="3"/>
      <c r="D34" s="3"/>
      <c r="E34" s="3"/>
      <c r="F34" s="3"/>
      <c r="G34" s="3"/>
      <c r="H34" s="3"/>
      <c r="I34" s="3"/>
      <c r="J34" s="3"/>
      <c r="K34" s="3"/>
      <c r="L34" s="3"/>
    </row>
    <row r="35" spans="1:12" x14ac:dyDescent="0.3">
      <c r="A35" s="3"/>
      <c r="B35" s="3"/>
      <c r="C35" s="3"/>
      <c r="D35" s="3"/>
      <c r="E35" s="3"/>
      <c r="F35" s="3"/>
      <c r="G35" s="3"/>
      <c r="H35" s="3"/>
      <c r="I35" s="3"/>
      <c r="J35" s="3"/>
      <c r="K35" s="3"/>
      <c r="L35" s="3"/>
    </row>
    <row r="36" spans="1:12" x14ac:dyDescent="0.3">
      <c r="A36" s="3"/>
      <c r="B36" s="3"/>
      <c r="C36" s="3"/>
      <c r="D36" s="3"/>
      <c r="E36" s="3"/>
      <c r="F36" s="3"/>
      <c r="G36" s="3"/>
      <c r="H36" s="3"/>
      <c r="I36" s="3"/>
      <c r="J36" s="3"/>
      <c r="K36" s="3"/>
      <c r="L36" s="3"/>
    </row>
    <row r="37" spans="1:12" x14ac:dyDescent="0.3">
      <c r="A37" s="3"/>
      <c r="B37" s="3"/>
      <c r="C37" s="3"/>
      <c r="D37" s="3"/>
      <c r="E37" s="3"/>
      <c r="F37" s="3"/>
      <c r="G37" s="3"/>
      <c r="H37" s="3"/>
      <c r="I37" s="3"/>
      <c r="J37" s="3"/>
      <c r="K37" s="3"/>
      <c r="L37" s="3"/>
    </row>
    <row r="38" spans="1:12" x14ac:dyDescent="0.3">
      <c r="A38" s="3"/>
      <c r="B38" s="3"/>
      <c r="C38" s="3"/>
      <c r="D38" s="3"/>
      <c r="E38" s="3"/>
      <c r="F38" s="3"/>
      <c r="G38" s="3"/>
      <c r="H38" s="3"/>
      <c r="I38" s="3"/>
      <c r="J38" s="3"/>
      <c r="K38" s="3"/>
      <c r="L38" s="3"/>
    </row>
    <row r="39" spans="1:12" x14ac:dyDescent="0.3">
      <c r="A39" s="3"/>
      <c r="B39" s="3"/>
      <c r="C39" s="3"/>
      <c r="D39" s="3"/>
      <c r="E39" s="3"/>
      <c r="F39" s="3"/>
      <c r="G39" s="3"/>
      <c r="H39" s="3"/>
      <c r="I39" s="3"/>
      <c r="J39" s="3"/>
      <c r="K39" s="3"/>
      <c r="L39" s="3"/>
    </row>
    <row r="40" spans="1:12" x14ac:dyDescent="0.3">
      <c r="A40" s="3"/>
      <c r="B40" s="3"/>
      <c r="C40" s="3"/>
      <c r="D40" s="3"/>
      <c r="E40" s="3"/>
      <c r="F40" s="3"/>
      <c r="G40" s="3"/>
      <c r="H40" s="3"/>
      <c r="I40" s="3"/>
      <c r="J40" s="3"/>
      <c r="K40" s="3"/>
      <c r="L40" s="3"/>
    </row>
    <row r="41" spans="1:12" x14ac:dyDescent="0.3">
      <c r="A41" s="3"/>
      <c r="B41" s="3"/>
      <c r="C41" s="3"/>
      <c r="D41" s="3"/>
      <c r="E41" s="3"/>
      <c r="F41" s="3"/>
      <c r="G41" s="3"/>
      <c r="H41" s="3"/>
      <c r="I41" s="3"/>
      <c r="J41" s="3"/>
      <c r="K41" s="3"/>
      <c r="L41" s="3"/>
    </row>
    <row r="42" spans="1:12" x14ac:dyDescent="0.3">
      <c r="A42" s="3"/>
      <c r="B42" s="3"/>
      <c r="C42" s="3"/>
      <c r="D42" s="3"/>
      <c r="E42" s="3"/>
      <c r="F42" s="3"/>
      <c r="G42" s="3"/>
      <c r="H42" s="3"/>
      <c r="I42" s="3"/>
      <c r="J42" s="3"/>
      <c r="K42" s="3"/>
      <c r="L42" s="3"/>
    </row>
    <row r="43" spans="1:12" x14ac:dyDescent="0.3">
      <c r="A43" s="3"/>
      <c r="B43" s="3"/>
      <c r="C43" s="3"/>
      <c r="D43" s="3"/>
      <c r="E43" s="3"/>
      <c r="F43" s="3"/>
      <c r="G43" s="3"/>
      <c r="H43" s="3"/>
      <c r="I43" s="3"/>
      <c r="J43" s="3"/>
      <c r="K43" s="3"/>
      <c r="L43" s="3"/>
    </row>
    <row r="44" spans="1:12" x14ac:dyDescent="0.3">
      <c r="A44" s="3"/>
      <c r="B44" s="3"/>
      <c r="C44" s="3"/>
      <c r="D44" s="3"/>
      <c r="E44" s="3"/>
      <c r="F44" s="3"/>
      <c r="G44" s="3"/>
      <c r="H44" s="3"/>
      <c r="I44" s="3"/>
      <c r="J44" s="3"/>
      <c r="K44" s="3"/>
      <c r="L44" s="3"/>
    </row>
    <row r="45" spans="1:12" x14ac:dyDescent="0.3">
      <c r="A45" s="3"/>
      <c r="B45" s="3"/>
      <c r="C45" s="3"/>
      <c r="D45" s="3"/>
      <c r="E45" s="3"/>
      <c r="F45" s="3"/>
      <c r="G45" s="3"/>
      <c r="H45" s="3"/>
      <c r="I45" s="3"/>
      <c r="J45" s="3"/>
      <c r="K45" s="3"/>
      <c r="L45" s="3"/>
    </row>
    <row r="46" spans="1:12" x14ac:dyDescent="0.3">
      <c r="A46" s="3"/>
      <c r="B46" s="3"/>
      <c r="C46" s="3"/>
      <c r="D46" s="3"/>
      <c r="E46" s="3"/>
      <c r="F46" s="3"/>
      <c r="G46" s="3"/>
      <c r="H46" s="3"/>
      <c r="I46" s="3"/>
      <c r="J46" s="3"/>
      <c r="K46" s="3"/>
      <c r="L46" s="3"/>
    </row>
    <row r="47" spans="1:12" x14ac:dyDescent="0.3">
      <c r="A47" s="3"/>
      <c r="B47" s="3"/>
      <c r="C47" s="3"/>
      <c r="D47" s="3"/>
      <c r="E47" s="3"/>
      <c r="F47" s="3"/>
      <c r="G47" s="3"/>
      <c r="H47" s="3"/>
      <c r="I47" s="3"/>
      <c r="J47" s="3"/>
      <c r="K47" s="3"/>
      <c r="L47" s="3"/>
    </row>
    <row r="48" spans="1:12" x14ac:dyDescent="0.3">
      <c r="A48" s="3"/>
      <c r="B48" s="3"/>
      <c r="C48" s="3"/>
      <c r="D48" s="3"/>
      <c r="E48" s="3"/>
      <c r="F48" s="3"/>
      <c r="G48" s="3"/>
      <c r="H48" s="3"/>
      <c r="I48" s="3"/>
      <c r="J48" s="3"/>
      <c r="K48" s="3"/>
      <c r="L48" s="3"/>
    </row>
    <row r="49" spans="1:12" x14ac:dyDescent="0.3">
      <c r="A49" s="3"/>
      <c r="B49" s="3"/>
      <c r="C49" s="3"/>
      <c r="D49" s="3"/>
      <c r="E49" s="3"/>
      <c r="F49" s="3"/>
      <c r="G49" s="3"/>
      <c r="H49" s="3"/>
      <c r="I49" s="3"/>
      <c r="J49" s="3"/>
      <c r="K49" s="3"/>
      <c r="L49" s="3"/>
    </row>
    <row r="50" spans="1:12" x14ac:dyDescent="0.3">
      <c r="A50" s="3"/>
      <c r="B50" s="3"/>
      <c r="C50" s="3"/>
      <c r="D50" s="3"/>
      <c r="E50" s="3"/>
      <c r="F50" s="3"/>
      <c r="G50" s="3"/>
      <c r="H50" s="3"/>
      <c r="I50" s="3"/>
      <c r="J50" s="3"/>
      <c r="K50" s="3"/>
      <c r="L50" s="3"/>
    </row>
    <row r="51" spans="1:12" x14ac:dyDescent="0.3">
      <c r="A51" s="3"/>
      <c r="B51" s="3"/>
      <c r="C51" s="3"/>
      <c r="D51" s="3"/>
      <c r="E51" s="3"/>
      <c r="F51" s="3"/>
      <c r="G51" s="3"/>
      <c r="H51" s="3"/>
      <c r="I51" s="3"/>
      <c r="J51" s="3"/>
      <c r="K51" s="3"/>
      <c r="L51" s="3"/>
    </row>
    <row r="52" spans="1:12" x14ac:dyDescent="0.3">
      <c r="A52" s="3"/>
      <c r="B52" s="3"/>
      <c r="C52" s="3"/>
      <c r="D52" s="3"/>
      <c r="E52" s="3"/>
      <c r="F52" s="3"/>
      <c r="G52" s="3"/>
      <c r="H52" s="3"/>
      <c r="I52" s="3"/>
      <c r="J52" s="3"/>
      <c r="K52" s="3"/>
      <c r="L52" s="3"/>
    </row>
    <row r="53" spans="1:12" x14ac:dyDescent="0.3">
      <c r="A53" s="3"/>
      <c r="B53" s="3"/>
      <c r="C53" s="3"/>
      <c r="D53" s="3"/>
      <c r="E53" s="3"/>
      <c r="F53" s="3"/>
      <c r="G53" s="3"/>
      <c r="H53" s="3"/>
      <c r="I53" s="3"/>
      <c r="J53" s="3"/>
      <c r="K53" s="3"/>
      <c r="L53" s="3"/>
    </row>
    <row r="54" spans="1:12" x14ac:dyDescent="0.3">
      <c r="A54" s="3"/>
      <c r="B54" s="3"/>
      <c r="C54" s="3"/>
      <c r="D54" s="3"/>
      <c r="E54" s="3"/>
      <c r="F54" s="3"/>
      <c r="G54" s="3"/>
      <c r="H54" s="3"/>
      <c r="I54" s="3"/>
      <c r="J54" s="3"/>
      <c r="K54" s="3"/>
      <c r="L54" s="3"/>
    </row>
    <row r="55" spans="1:12" x14ac:dyDescent="0.3">
      <c r="A55" s="3"/>
      <c r="B55" s="3"/>
      <c r="C55" s="3"/>
      <c r="D55" s="3"/>
      <c r="E55" s="3"/>
      <c r="F55" s="3"/>
      <c r="G55" s="3"/>
      <c r="H55" s="3"/>
      <c r="I55" s="3"/>
      <c r="J55" s="3"/>
      <c r="K55" s="3"/>
      <c r="L55" s="3"/>
    </row>
    <row r="56" spans="1:12" x14ac:dyDescent="0.3">
      <c r="A56" s="3"/>
      <c r="B56" s="3"/>
      <c r="C56" s="3"/>
      <c r="D56" s="3"/>
      <c r="E56" s="3"/>
      <c r="F56" s="3"/>
      <c r="G56" s="3"/>
      <c r="H56" s="3"/>
      <c r="I56" s="3"/>
      <c r="J56" s="3"/>
      <c r="K56" s="3"/>
      <c r="L56" s="3"/>
    </row>
    <row r="57" spans="1:12" x14ac:dyDescent="0.3">
      <c r="A57" s="3"/>
      <c r="B57" s="3"/>
      <c r="C57" s="3"/>
      <c r="D57" s="3"/>
      <c r="E57" s="3"/>
      <c r="F57" s="3"/>
      <c r="G57" s="3"/>
      <c r="H57" s="3"/>
      <c r="I57" s="3"/>
      <c r="J57" s="3"/>
      <c r="K57" s="3"/>
      <c r="L57" s="3"/>
    </row>
  </sheetData>
  <sheetProtection algorithmName="SHA-512" hashValue="d9ELUPHRidc9wGuxif8SzXh+Lui7N4TXufL8GqFy5RipCuuMywVssFuYqLulYqSqdfDvzJLftUv77u++KXZpGA==" saltValue="FfIBfQo9mTNK/VjakaJqQw==" spinCount="100000" sheet="1" selectLockedCells="1" selectUnlockedCells="1"/>
  <pageMargins left="0.7" right="0.7" top="0.75" bottom="0.75" header="0.3" footer="0.3"/>
  <pageSetup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249977111117893"/>
  </sheetPr>
  <dimension ref="A1:Z100"/>
  <sheetViews>
    <sheetView topLeftCell="B1" workbookViewId="0">
      <selection activeCell="C2" sqref="C2:D2"/>
    </sheetView>
  </sheetViews>
  <sheetFormatPr defaultColWidth="8.77734375" defaultRowHeight="14.4" x14ac:dyDescent="0.3"/>
  <cols>
    <col min="1" max="1" width="12.5546875" style="150" hidden="1" customWidth="1"/>
    <col min="2" max="2" width="56.109375" style="104" customWidth="1"/>
    <col min="3" max="3" width="8.44140625" style="106" customWidth="1"/>
    <col min="4" max="4" width="11.44140625" style="107" customWidth="1"/>
    <col min="5" max="5" width="12.6640625" style="8" customWidth="1"/>
    <col min="6" max="6" width="5.44140625" style="8" hidden="1" customWidth="1"/>
    <col min="7" max="7" width="3" hidden="1" customWidth="1"/>
    <col min="8" max="8" width="57.44140625" hidden="1" customWidth="1"/>
    <col min="9" max="9" width="6.77734375" style="94" hidden="1" customWidth="1"/>
    <col min="10" max="11" width="8.77734375" hidden="1" customWidth="1"/>
    <col min="12" max="12" width="3" customWidth="1"/>
    <col min="13" max="13" width="20.44140625" hidden="1" customWidth="1"/>
    <col min="14" max="16" width="8.77734375" style="94" hidden="1" customWidth="1"/>
    <col min="17" max="17" width="8.77734375" hidden="1" customWidth="1"/>
    <col min="18" max="18" width="19.44140625" style="94" hidden="1" customWidth="1"/>
  </cols>
  <sheetData>
    <row r="1" spans="1:26" x14ac:dyDescent="0.3">
      <c r="B1" s="118" t="s">
        <v>188</v>
      </c>
      <c r="C1" s="620"/>
      <c r="D1" s="621"/>
      <c r="G1">
        <f>IF(H1="",0,1)</f>
        <v>0</v>
      </c>
      <c r="H1" t="str">
        <f>IF(C1="","",IF(Startup!F55&lt;1,"","Study Startup &amp; Training:"))</f>
        <v/>
      </c>
      <c r="I1" s="94" t="str">
        <f>IF(H1="","",1)</f>
        <v/>
      </c>
      <c r="J1" t="str">
        <f>IF(H1="","",E6)</f>
        <v/>
      </c>
      <c r="K1" t="str">
        <f>IF(H1="","",VLOOKUP(C1,Startup!L1:M3,2,FALSE))</f>
        <v/>
      </c>
      <c r="L1" s="116"/>
      <c r="M1" s="115">
        <f ca="1">MAX(G:G)</f>
        <v>0</v>
      </c>
      <c r="N1" s="99"/>
      <c r="O1" s="99"/>
      <c r="P1" s="100"/>
      <c r="R1" s="94" t="s">
        <v>212</v>
      </c>
      <c r="S1" s="623" t="s">
        <v>233</v>
      </c>
      <c r="T1" s="623"/>
      <c r="U1" s="623"/>
      <c r="V1" s="623"/>
      <c r="W1" s="623"/>
      <c r="X1" s="624"/>
      <c r="Y1" s="624"/>
      <c r="Z1" s="624"/>
    </row>
    <row r="2" spans="1:26" ht="13.8" customHeight="1" x14ac:dyDescent="0.3">
      <c r="B2" s="118"/>
      <c r="C2" s="621"/>
      <c r="D2" s="621"/>
      <c r="G2">
        <f>IF(H2="",0,(MAX(G1)+1))</f>
        <v>0</v>
      </c>
      <c r="H2" t="str">
        <f>IF(C1="","",IF(Maintenence!Y1="","",CONCATENATE("Annual Protocol Maintenance ",Maintenence!X1,":")))</f>
        <v/>
      </c>
      <c r="I2" s="94" t="str">
        <f>IF(H2="","",'Protocol Cover Sheet'!Q16)</f>
        <v/>
      </c>
      <c r="J2" t="str">
        <f>IF(H2="","",Maintenence!Y1/I2)</f>
        <v/>
      </c>
      <c r="K2" t="str">
        <f>IF(H2="","",Maintenence!Y1)</f>
        <v/>
      </c>
      <c r="L2" s="116"/>
      <c r="M2" s="12"/>
      <c r="N2" s="100"/>
      <c r="O2" s="100"/>
      <c r="P2" s="100"/>
      <c r="R2" s="94" t="s">
        <v>213</v>
      </c>
      <c r="S2" s="623"/>
      <c r="T2" s="623"/>
      <c r="U2" s="623"/>
      <c r="V2" s="623"/>
      <c r="W2" s="623"/>
      <c r="X2" s="624"/>
      <c r="Y2" s="624"/>
      <c r="Z2" s="624"/>
    </row>
    <row r="3" spans="1:26" x14ac:dyDescent="0.3">
      <c r="C3" s="622" t="str">
        <f>IF(C1="","","Estimate Total:")</f>
        <v/>
      </c>
      <c r="D3" s="622"/>
      <c r="E3" s="105" t="str">
        <f>IF(C3="","",SUM(E6:E52))</f>
        <v/>
      </c>
      <c r="F3" s="105"/>
      <c r="G3">
        <f>IF(H3="",0,(MAX(G1:G2))+1)</f>
        <v>0</v>
      </c>
      <c r="H3" t="str">
        <f>IF(C1="","","Study Closure &amp; Archival Costs:")</f>
        <v/>
      </c>
      <c r="I3" s="94" t="str">
        <f>IF(H3="","",1)</f>
        <v/>
      </c>
      <c r="J3" t="str">
        <f>IF(H3="","",K3)</f>
        <v/>
      </c>
      <c r="K3" t="str">
        <f>IF(H3="","",IF(C1="Non-Industry",318.66,IF(C1="Industry",430.19,580.76)))</f>
        <v/>
      </c>
      <c r="L3" s="116"/>
      <c r="M3" s="12"/>
      <c r="N3" s="100"/>
      <c r="O3" s="100"/>
      <c r="P3" s="100"/>
      <c r="R3" s="94" t="s">
        <v>214</v>
      </c>
    </row>
    <row r="4" spans="1:26" ht="13.2" customHeight="1" x14ac:dyDescent="0.3">
      <c r="G4">
        <f>IF(H4="",0,(MAX($G$1:G3)+1))</f>
        <v>0</v>
      </c>
      <c r="H4" t="str">
        <f>IF('Manufacturing-Testing-Other'!V2&gt;0,CONCATENATE('Manufacturing-Testing-Other'!K2,": ",'Manufacturing-Testing-Other'!L2),"")</f>
        <v/>
      </c>
      <c r="I4" s="94" t="str">
        <f>IF('Manufacturing-Testing-Other'!V2&gt;0,'Manufacturing-Testing-Other'!R2,"")</f>
        <v/>
      </c>
      <c r="J4" t="str">
        <f>IF('Manufacturing-Testing-Other'!V2&gt;0,'Manufacturing-Testing-Other'!S2,"")</f>
        <v/>
      </c>
      <c r="K4" t="str">
        <f>IF('Manufacturing-Testing-Other'!V2&gt;0,'Manufacturing-Testing-Other'!V2,"")</f>
        <v/>
      </c>
      <c r="L4" s="116"/>
      <c r="M4" s="12"/>
      <c r="N4" s="100"/>
      <c r="O4" s="100"/>
      <c r="P4" s="100"/>
    </row>
    <row r="5" spans="1:26" x14ac:dyDescent="0.3">
      <c r="B5" s="108" t="s">
        <v>184</v>
      </c>
      <c r="C5" s="109" t="s">
        <v>24</v>
      </c>
      <c r="D5" s="109" t="s">
        <v>185</v>
      </c>
      <c r="E5" s="109" t="s">
        <v>186</v>
      </c>
      <c r="F5" s="151"/>
      <c r="G5">
        <f>IF(H5="",0,(MAX($G$1:G4)+1))</f>
        <v>0</v>
      </c>
      <c r="H5" t="str">
        <f>IF('Manufacturing-Testing-Other'!V3&gt;0,CONCATENATE('Manufacturing-Testing-Other'!K3,": ",'Manufacturing-Testing-Other'!L3),"")</f>
        <v/>
      </c>
      <c r="I5" s="119" t="str">
        <f>IF('Manufacturing-Testing-Other'!V3&gt;0,'Manufacturing-Testing-Other'!R3,"")</f>
        <v/>
      </c>
      <c r="J5" t="str">
        <f>IF('Manufacturing-Testing-Other'!V3&gt;0,'Manufacturing-Testing-Other'!S3,"")</f>
        <v/>
      </c>
      <c r="K5" t="str">
        <f>IF('Manufacturing-Testing-Other'!V3&gt;0,'Manufacturing-Testing-Other'!V3,"")</f>
        <v/>
      </c>
      <c r="L5" s="116"/>
      <c r="M5" s="12"/>
      <c r="N5" s="100"/>
      <c r="O5" s="100"/>
    </row>
    <row r="6" spans="1:26" ht="25.2" customHeight="1" x14ac:dyDescent="0.3">
      <c r="A6" s="150" t="str">
        <f ca="1">IF(M1&gt;0,1,"")</f>
        <v/>
      </c>
      <c r="B6" s="104" t="str">
        <f ca="1">IF(A6="","",VLOOKUP(A6,$G$1:$K$73,2,FALSE))</f>
        <v/>
      </c>
      <c r="C6" s="106" t="str">
        <f ca="1">IF(A6="","",VLOOKUP(A6,$G$1:$K$73,3,FALSE))</f>
        <v/>
      </c>
      <c r="D6" s="110" t="str">
        <f ca="1">IF(A6="","",VLOOKUP(A6,$G$1:$K$73,4,FALSE))</f>
        <v/>
      </c>
      <c r="E6" s="110" t="str">
        <f ca="1">IF(A6="","",VLOOKUP(A6,$G$1:$K$73,5,FALSE))</f>
        <v/>
      </c>
      <c r="F6" s="110"/>
      <c r="G6">
        <f>IF(H6="",0,(MAX($G$1:G5)+1))</f>
        <v>0</v>
      </c>
      <c r="H6" t="str">
        <f>IF('Manufacturing-Testing-Other'!V4&gt;0,CONCATENATE('Manufacturing-Testing-Other'!K4,": ",'Manufacturing-Testing-Other'!L4),"")</f>
        <v/>
      </c>
      <c r="I6" s="119" t="str">
        <f>IF('Manufacturing-Testing-Other'!V4&gt;0,'Manufacturing-Testing-Other'!R4,"")</f>
        <v/>
      </c>
      <c r="J6" t="str">
        <f>IF('Manufacturing-Testing-Other'!V4&gt;0,'Manufacturing-Testing-Other'!S4,"")</f>
        <v/>
      </c>
      <c r="K6" t="str">
        <f>IF('Manufacturing-Testing-Other'!V4&gt;0,'Manufacturing-Testing-Other'!V4,"")</f>
        <v/>
      </c>
      <c r="L6" s="116"/>
      <c r="M6" s="12"/>
      <c r="N6" s="100"/>
      <c r="O6" s="100"/>
    </row>
    <row r="7" spans="1:26" ht="25.2" customHeight="1" x14ac:dyDescent="0.3">
      <c r="A7" s="150" t="str">
        <f ca="1">IF(A6="","",IF($M$1&gt;=1+A6,A6+1,""))</f>
        <v/>
      </c>
      <c r="B7" s="104" t="str">
        <f ca="1">IF(A7="","",VLOOKUP(A7,$G$1:$K$73,2,FALSE))</f>
        <v/>
      </c>
      <c r="C7" s="106" t="str">
        <f t="shared" ref="C7:C52" ca="1" si="0">IF(A7="","",VLOOKUP(A7,$G$1:$K$73,3,FALSE))</f>
        <v/>
      </c>
      <c r="D7" s="110" t="str">
        <f t="shared" ref="D7:D52" ca="1" si="1">IF(A7="","",VLOOKUP(A7,$G$1:$K$73,4,FALSE))</f>
        <v/>
      </c>
      <c r="E7" s="110" t="str">
        <f t="shared" ref="E7:E52" ca="1" si="2">IF(A7="","",VLOOKUP(A7,$G$1:$K$73,5,FALSE))</f>
        <v/>
      </c>
      <c r="F7" s="110"/>
      <c r="G7">
        <f>IF(H7="",0,(MAX($G$1:G6)+1))</f>
        <v>0</v>
      </c>
      <c r="H7" t="str">
        <f>IF('Manufacturing-Testing-Other'!V5&gt;0,CONCATENATE('Manufacturing-Testing-Other'!K5,": ",'Manufacturing-Testing-Other'!L5),"")</f>
        <v/>
      </c>
      <c r="I7" s="119" t="str">
        <f>IF('Manufacturing-Testing-Other'!V5&gt;0,'Manufacturing-Testing-Other'!R5,"")</f>
        <v/>
      </c>
      <c r="J7" t="str">
        <f>IF('Manufacturing-Testing-Other'!V5&gt;0,'Manufacturing-Testing-Other'!S5,"")</f>
        <v/>
      </c>
      <c r="K7" t="str">
        <f>IF('Manufacturing-Testing-Other'!V5&gt;0,'Manufacturing-Testing-Other'!V5,"")</f>
        <v/>
      </c>
      <c r="L7" s="116"/>
      <c r="M7" s="12"/>
      <c r="N7" s="100"/>
      <c r="O7" s="100"/>
    </row>
    <row r="8" spans="1:26" ht="25.2" customHeight="1" x14ac:dyDescent="0.3">
      <c r="A8" s="150" t="str">
        <f t="shared" ref="A8:A71" ca="1" si="3">IF(A7="","",IF($M$1&gt;=1+A7,A7+1,""))</f>
        <v/>
      </c>
      <c r="B8" s="104" t="str">
        <f ca="1">IF(A8="","",VLOOKUP(A8,$G$1:$K$73,2,FALSE))</f>
        <v/>
      </c>
      <c r="C8" s="106" t="str">
        <f t="shared" ca="1" si="0"/>
        <v/>
      </c>
      <c r="D8" s="110" t="str">
        <f t="shared" ca="1" si="1"/>
        <v/>
      </c>
      <c r="E8" s="110" t="str">
        <f t="shared" ca="1" si="2"/>
        <v/>
      </c>
      <c r="F8" s="110"/>
      <c r="G8">
        <f>IF(H8="",0,(MAX($G$1:G7)+1))</f>
        <v>0</v>
      </c>
      <c r="H8" t="str">
        <f>IF('Manufacturing-Testing-Other'!V6&gt;0,CONCATENATE('Manufacturing-Testing-Other'!K6,": ",'Manufacturing-Testing-Other'!L6),"")</f>
        <v/>
      </c>
      <c r="I8" s="119" t="str">
        <f>IF('Manufacturing-Testing-Other'!V6&gt;0,'Manufacturing-Testing-Other'!R6,"")</f>
        <v/>
      </c>
      <c r="J8" t="str">
        <f>IF('Manufacturing-Testing-Other'!V6&gt;0,'Manufacturing-Testing-Other'!S6,"")</f>
        <v/>
      </c>
      <c r="K8" t="str">
        <f>IF('Manufacturing-Testing-Other'!V6&gt;0,'Manufacturing-Testing-Other'!V6,"")</f>
        <v/>
      </c>
      <c r="L8" s="116"/>
      <c r="M8" s="12"/>
      <c r="N8" s="100"/>
      <c r="O8" s="100"/>
    </row>
    <row r="9" spans="1:26" ht="25.2" customHeight="1" x14ac:dyDescent="0.3">
      <c r="A9" s="150" t="str">
        <f t="shared" ca="1" si="3"/>
        <v/>
      </c>
      <c r="B9" s="104" t="str">
        <f ca="1">IF(A9="","",VLOOKUP(A9,$G$1:$K$73,2,FALSE))</f>
        <v/>
      </c>
      <c r="C9" s="106" t="str">
        <f t="shared" ca="1" si="0"/>
        <v/>
      </c>
      <c r="D9" s="110" t="str">
        <f t="shared" ca="1" si="1"/>
        <v/>
      </c>
      <c r="E9" s="110" t="str">
        <f t="shared" ca="1" si="2"/>
        <v/>
      </c>
      <c r="F9" s="111"/>
      <c r="G9">
        <f>IF(H9="",0,(MAX($G$1:G8)+1))</f>
        <v>0</v>
      </c>
      <c r="H9" t="str">
        <f>IF('Manufacturing-Testing-Other'!V7&gt;0,CONCATENATE('Manufacturing-Testing-Other'!K7,": ",'Manufacturing-Testing-Other'!L7),"")</f>
        <v/>
      </c>
      <c r="I9" s="119" t="str">
        <f>IF('Manufacturing-Testing-Other'!V7&gt;0,'Manufacturing-Testing-Other'!R7,"")</f>
        <v/>
      </c>
      <c r="J9" t="str">
        <f>IF('Manufacturing-Testing-Other'!V7&gt;0,'Manufacturing-Testing-Other'!S7,"")</f>
        <v/>
      </c>
      <c r="K9" t="str">
        <f>IF('Manufacturing-Testing-Other'!V7&gt;0,'Manufacturing-Testing-Other'!V7,"")</f>
        <v/>
      </c>
      <c r="L9" s="116"/>
      <c r="M9" s="12"/>
      <c r="N9" s="100"/>
      <c r="O9" s="100"/>
      <c r="P9" s="100"/>
    </row>
    <row r="10" spans="1:26" ht="25.2" customHeight="1" x14ac:dyDescent="0.3">
      <c r="A10" s="150" t="str">
        <f t="shared" ca="1" si="3"/>
        <v/>
      </c>
      <c r="B10" s="104" t="str">
        <f ca="1">IF(A10="","",VLOOKUP(A10,$G$1:$K$73,2,FALSE))</f>
        <v/>
      </c>
      <c r="C10" s="106" t="str">
        <f t="shared" ca="1" si="0"/>
        <v/>
      </c>
      <c r="D10" s="110" t="str">
        <f t="shared" ca="1" si="1"/>
        <v/>
      </c>
      <c r="E10" s="110" t="str">
        <f t="shared" ca="1" si="2"/>
        <v/>
      </c>
      <c r="F10" s="111"/>
      <c r="G10">
        <f>IF(H10="",0,(MAX($G$1:G9)+1))</f>
        <v>0</v>
      </c>
      <c r="H10" t="str">
        <f>IF('Manufacturing-Testing-Other'!V8&gt;0,CONCATENATE('Manufacturing-Testing-Other'!K8,": ",'Manufacturing-Testing-Other'!L8),"")</f>
        <v/>
      </c>
      <c r="I10" s="119" t="str">
        <f>IF('Manufacturing-Testing-Other'!V8&gt;0,'Manufacturing-Testing-Other'!R8,"")</f>
        <v/>
      </c>
      <c r="J10" t="str">
        <f>IF('Manufacturing-Testing-Other'!V8&gt;0,'Manufacturing-Testing-Other'!S8,"")</f>
        <v/>
      </c>
      <c r="K10" t="str">
        <f>IF('Manufacturing-Testing-Other'!V8&gt;0,'Manufacturing-Testing-Other'!V8,"")</f>
        <v/>
      </c>
      <c r="L10" s="97"/>
      <c r="M10" s="12"/>
      <c r="N10" s="100"/>
      <c r="O10" s="100"/>
    </row>
    <row r="11" spans="1:26" ht="25.2" customHeight="1" x14ac:dyDescent="0.3">
      <c r="A11" s="150" t="str">
        <f t="shared" ca="1" si="3"/>
        <v/>
      </c>
      <c r="B11" s="104" t="str">
        <f t="shared" ref="B11:B74" ca="1" si="4">IF(A11="","",VLOOKUP(A11,$G$1:$K$73,2,FALSE))</f>
        <v/>
      </c>
      <c r="C11" s="106" t="str">
        <f t="shared" ca="1" si="0"/>
        <v/>
      </c>
      <c r="D11" s="110" t="str">
        <f t="shared" ca="1" si="1"/>
        <v/>
      </c>
      <c r="E11" s="110" t="str">
        <f t="shared" ca="1" si="2"/>
        <v/>
      </c>
      <c r="F11" s="111"/>
      <c r="G11">
        <f>IF(H11="",0,(MAX($G$1:G10)+1))</f>
        <v>0</v>
      </c>
      <c r="H11" t="str">
        <f>IF('Manufacturing-Testing-Other'!V9&gt;0,CONCATENATE('Manufacturing-Testing-Other'!K9,": ",'Manufacturing-Testing-Other'!L9),"")</f>
        <v/>
      </c>
      <c r="I11" s="250" t="str">
        <f>IF('Manufacturing-Testing-Other'!V9&gt;0,'Manufacturing-Testing-Other'!R9,"")</f>
        <v/>
      </c>
      <c r="J11" t="str">
        <f>IF('Manufacturing-Testing-Other'!V9&gt;0,'Manufacturing-Testing-Other'!S9,"")</f>
        <v/>
      </c>
      <c r="K11" t="str">
        <f>IF('Manufacturing-Testing-Other'!V9&gt;0,'Manufacturing-Testing-Other'!V9,"")</f>
        <v/>
      </c>
      <c r="L11" s="97"/>
    </row>
    <row r="12" spans="1:26" ht="25.2" customHeight="1" x14ac:dyDescent="0.3">
      <c r="A12" s="150" t="str">
        <f t="shared" ca="1" si="3"/>
        <v/>
      </c>
      <c r="B12" s="104" t="str">
        <f t="shared" ca="1" si="4"/>
        <v/>
      </c>
      <c r="C12" s="106" t="str">
        <f t="shared" ca="1" si="0"/>
        <v/>
      </c>
      <c r="D12" s="110" t="str">
        <f t="shared" ca="1" si="1"/>
        <v/>
      </c>
      <c r="E12" s="110" t="str">
        <f t="shared" ca="1" si="2"/>
        <v/>
      </c>
      <c r="F12" s="111"/>
      <c r="G12">
        <f>IF(H12="",0,(MAX($G$1:G11)+1))</f>
        <v>0</v>
      </c>
      <c r="H12" t="str">
        <f>IF('Manufacturing-Testing-Other'!V10&gt;0,CONCATENATE('Manufacturing-Testing-Other'!K10,": ",'Manufacturing-Testing-Other'!L10),"")</f>
        <v/>
      </c>
      <c r="I12" s="250" t="str">
        <f>IF('Manufacturing-Testing-Other'!V10&gt;0,'Manufacturing-Testing-Other'!R10,"")</f>
        <v/>
      </c>
      <c r="J12" t="str">
        <f>IF('Manufacturing-Testing-Other'!V10&gt;0,'Manufacturing-Testing-Other'!S10,"")</f>
        <v/>
      </c>
      <c r="K12" t="str">
        <f>IF('Manufacturing-Testing-Other'!V10&gt;0,'Manufacturing-Testing-Other'!V10,"")</f>
        <v/>
      </c>
      <c r="L12" s="97"/>
    </row>
    <row r="13" spans="1:26" ht="25.2" customHeight="1" x14ac:dyDescent="0.3">
      <c r="A13" s="150" t="str">
        <f t="shared" ca="1" si="3"/>
        <v/>
      </c>
      <c r="B13" s="104" t="str">
        <f t="shared" ca="1" si="4"/>
        <v/>
      </c>
      <c r="C13" s="106" t="str">
        <f t="shared" ca="1" si="0"/>
        <v/>
      </c>
      <c r="D13" s="110" t="str">
        <f t="shared" ca="1" si="1"/>
        <v/>
      </c>
      <c r="E13" s="110" t="str">
        <f t="shared" ca="1" si="2"/>
        <v/>
      </c>
      <c r="F13" s="111"/>
      <c r="G13">
        <f>IF(H13="",0,(MAX($G$1:G12)+1))</f>
        <v>0</v>
      </c>
      <c r="H13" s="219" t="str">
        <f>IF($C$1="","",IF('Manufacturing-Testing-Other'!AC9="","",'Manufacturing-Testing-Other'!AC9))</f>
        <v/>
      </c>
      <c r="I13" s="220" t="str">
        <f>IF(H13="","",'Manufacturing-Testing-Other'!AD9)</f>
        <v/>
      </c>
      <c r="J13" s="219" t="str">
        <f>IF(H13="","",'Manufacturing-Testing-Other'!AE9)</f>
        <v/>
      </c>
      <c r="K13" s="219" t="str">
        <f>IF(H13="","",'Manufacturing-Testing-Other'!AF9)</f>
        <v/>
      </c>
      <c r="L13" s="97"/>
    </row>
    <row r="14" spans="1:26" ht="25.2" customHeight="1" x14ac:dyDescent="0.3">
      <c r="A14" s="150" t="str">
        <f t="shared" ca="1" si="3"/>
        <v/>
      </c>
      <c r="B14" s="104" t="str">
        <f t="shared" ca="1" si="4"/>
        <v/>
      </c>
      <c r="C14" s="106" t="str">
        <f t="shared" ca="1" si="0"/>
        <v/>
      </c>
      <c r="D14" s="110" t="str">
        <f t="shared" ca="1" si="1"/>
        <v/>
      </c>
      <c r="E14" s="110" t="str">
        <f t="shared" ca="1" si="2"/>
        <v/>
      </c>
      <c r="F14" s="111"/>
      <c r="G14">
        <f>IF(H14="",0,(MAX($G$1:G13)+1))</f>
        <v>0</v>
      </c>
      <c r="H14" s="219" t="str">
        <f>IF($C$1="","",IF('Manufacturing-Testing-Other'!AC10="","",'Manufacturing-Testing-Other'!AC10))</f>
        <v/>
      </c>
      <c r="I14" s="220" t="str">
        <f>IF(H14="","",'Manufacturing-Testing-Other'!AD10)</f>
        <v/>
      </c>
      <c r="J14" s="219" t="str">
        <f>IF(H14="","",'Manufacturing-Testing-Other'!AE10)</f>
        <v/>
      </c>
      <c r="K14" s="219" t="str">
        <f>IF(H14="","",'Manufacturing-Testing-Other'!AF10)</f>
        <v/>
      </c>
      <c r="L14" s="97"/>
    </row>
    <row r="15" spans="1:26" ht="25.2" customHeight="1" x14ac:dyDescent="0.3">
      <c r="A15" s="150" t="str">
        <f t="shared" ca="1" si="3"/>
        <v/>
      </c>
      <c r="B15" s="104" t="str">
        <f t="shared" ca="1" si="4"/>
        <v/>
      </c>
      <c r="C15" s="106" t="str">
        <f t="shared" ca="1" si="0"/>
        <v/>
      </c>
      <c r="D15" s="110" t="str">
        <f t="shared" ca="1" si="1"/>
        <v/>
      </c>
      <c r="E15" s="110" t="str">
        <f t="shared" ca="1" si="2"/>
        <v/>
      </c>
      <c r="F15" s="111"/>
      <c r="G15">
        <f>IF(H15="",0,(MAX($G$1:G14)+1))</f>
        <v>0</v>
      </c>
      <c r="H15" s="219" t="str">
        <f>IF($C$1="","",IF('Manufacturing-Testing-Other'!AC11="","",'Manufacturing-Testing-Other'!AC11))</f>
        <v/>
      </c>
      <c r="I15" s="220" t="str">
        <f>IF(H15="","",'Manufacturing-Testing-Other'!AD11)</f>
        <v/>
      </c>
      <c r="J15" s="219" t="str">
        <f>IF(H15="","",'Manufacturing-Testing-Other'!AE11)</f>
        <v/>
      </c>
      <c r="K15" s="219" t="str">
        <f>IF(H15="","",'Manufacturing-Testing-Other'!AF11)</f>
        <v/>
      </c>
      <c r="L15" s="97"/>
      <c r="O15" s="100"/>
    </row>
    <row r="16" spans="1:26" ht="25.2" customHeight="1" x14ac:dyDescent="0.3">
      <c r="A16" s="150" t="str">
        <f t="shared" ca="1" si="3"/>
        <v/>
      </c>
      <c r="B16" s="104" t="str">
        <f t="shared" ca="1" si="4"/>
        <v/>
      </c>
      <c r="C16" s="106" t="str">
        <f t="shared" ca="1" si="0"/>
        <v/>
      </c>
      <c r="D16" s="110" t="str">
        <f t="shared" ca="1" si="1"/>
        <v/>
      </c>
      <c r="E16" s="110" t="str">
        <f t="shared" ca="1" si="2"/>
        <v/>
      </c>
      <c r="F16" s="111"/>
      <c r="G16">
        <f>IF(H16="",0,(MAX($G$1:G15)+1))</f>
        <v>0</v>
      </c>
      <c r="H16" s="219" t="str">
        <f>IF($C$1="","",IF('Manufacturing-Testing-Other'!AC12="","",'Manufacturing-Testing-Other'!AC12))</f>
        <v/>
      </c>
      <c r="I16" s="220" t="str">
        <f>IF(H16="","",'Manufacturing-Testing-Other'!AD12)</f>
        <v/>
      </c>
      <c r="J16" s="219" t="str">
        <f>IF(H16="","",'Manufacturing-Testing-Other'!AE12)</f>
        <v/>
      </c>
      <c r="K16" s="219" t="str">
        <f>IF(H16="","",'Manufacturing-Testing-Other'!AF12)</f>
        <v/>
      </c>
      <c r="L16" s="97"/>
    </row>
    <row r="17" spans="1:12" ht="25.2" customHeight="1" x14ac:dyDescent="0.3">
      <c r="A17" s="150" t="str">
        <f t="shared" ca="1" si="3"/>
        <v/>
      </c>
      <c r="B17" s="104" t="str">
        <f t="shared" ca="1" si="4"/>
        <v/>
      </c>
      <c r="C17" s="106" t="str">
        <f t="shared" ca="1" si="0"/>
        <v/>
      </c>
      <c r="D17" s="110" t="str">
        <f t="shared" ca="1" si="1"/>
        <v/>
      </c>
      <c r="E17" s="110" t="str">
        <f t="shared" ca="1" si="2"/>
        <v/>
      </c>
      <c r="F17" s="111"/>
      <c r="G17">
        <f>IF(H17="",0,(MAX($G$1:G16)+1))</f>
        <v>0</v>
      </c>
      <c r="H17" s="219" t="str">
        <f>IF($C$1="","",IF('Manufacturing-Testing-Other'!AC13="","",'Manufacturing-Testing-Other'!AC13))</f>
        <v/>
      </c>
      <c r="I17" s="220" t="str">
        <f>IF(H17="","",'Manufacturing-Testing-Other'!AD13)</f>
        <v/>
      </c>
      <c r="J17" s="219" t="str">
        <f>IF(H17="","",'Manufacturing-Testing-Other'!AE13)</f>
        <v/>
      </c>
      <c r="K17" s="219" t="str">
        <f>IF(H17="","",'Manufacturing-Testing-Other'!AF13)</f>
        <v/>
      </c>
      <c r="L17" s="97"/>
    </row>
    <row r="18" spans="1:12" ht="25.2" customHeight="1" x14ac:dyDescent="0.3">
      <c r="A18" s="150" t="str">
        <f t="shared" ca="1" si="3"/>
        <v/>
      </c>
      <c r="B18" s="104" t="str">
        <f t="shared" ca="1" si="4"/>
        <v/>
      </c>
      <c r="C18" s="106" t="str">
        <f t="shared" ca="1" si="0"/>
        <v/>
      </c>
      <c r="D18" s="110" t="str">
        <f t="shared" ca="1" si="1"/>
        <v/>
      </c>
      <c r="E18" s="110" t="str">
        <f t="shared" ca="1" si="2"/>
        <v/>
      </c>
      <c r="F18" s="111"/>
      <c r="G18">
        <f>IF(H18="",0,(MAX($G$1:G17)+1))</f>
        <v>0</v>
      </c>
      <c r="H18" s="219" t="str">
        <f>IF($C$1="","",IF('Manufacturing-Testing-Other'!AC14="","",'Manufacturing-Testing-Other'!AC14))</f>
        <v/>
      </c>
      <c r="I18" s="220" t="str">
        <f>IF(H18="","",'Manufacturing-Testing-Other'!AD14)</f>
        <v/>
      </c>
      <c r="J18" s="219" t="str">
        <f>IF(H18="","",'Manufacturing-Testing-Other'!AE14)</f>
        <v/>
      </c>
      <c r="K18" s="219" t="str">
        <f>IF(H18="","",'Manufacturing-Testing-Other'!AF14)</f>
        <v/>
      </c>
      <c r="L18" s="97"/>
    </row>
    <row r="19" spans="1:12" ht="25.2" customHeight="1" x14ac:dyDescent="0.3">
      <c r="A19" s="150" t="str">
        <f t="shared" ca="1" si="3"/>
        <v/>
      </c>
      <c r="B19" s="104" t="str">
        <f t="shared" ca="1" si="4"/>
        <v/>
      </c>
      <c r="C19" s="106" t="str">
        <f t="shared" ca="1" si="0"/>
        <v/>
      </c>
      <c r="D19" s="110" t="str">
        <f t="shared" ca="1" si="1"/>
        <v/>
      </c>
      <c r="E19" s="110" t="str">
        <f t="shared" ca="1" si="2"/>
        <v/>
      </c>
      <c r="F19" s="111"/>
      <c r="G19">
        <f>IF(H19="",0,(MAX($G$1:G18)+1))</f>
        <v>0</v>
      </c>
      <c r="H19" s="219" t="str">
        <f>IF($C$1="","",IF('Manufacturing-Testing-Other'!AC15="","",'Manufacturing-Testing-Other'!AC15))</f>
        <v/>
      </c>
      <c r="I19" s="220" t="str">
        <f>IF(H19="","",'Manufacturing-Testing-Other'!AD15)</f>
        <v/>
      </c>
      <c r="J19" s="219" t="str">
        <f>IF(H19="","",'Manufacturing-Testing-Other'!AE15)</f>
        <v/>
      </c>
      <c r="K19" s="219" t="str">
        <f>IF(H19="","",'Manufacturing-Testing-Other'!AF15)</f>
        <v/>
      </c>
      <c r="L19" s="97"/>
    </row>
    <row r="20" spans="1:12" ht="25.2" customHeight="1" x14ac:dyDescent="0.3">
      <c r="A20" s="150" t="str">
        <f t="shared" ca="1" si="3"/>
        <v/>
      </c>
      <c r="B20" s="104" t="str">
        <f t="shared" ca="1" si="4"/>
        <v/>
      </c>
      <c r="C20" s="106" t="str">
        <f t="shared" ca="1" si="0"/>
        <v/>
      </c>
      <c r="D20" s="110" t="str">
        <f t="shared" ca="1" si="1"/>
        <v/>
      </c>
      <c r="E20" s="110" t="str">
        <f t="shared" ca="1" si="2"/>
        <v/>
      </c>
      <c r="F20" s="111"/>
      <c r="G20">
        <f>IF(H20="",0,(MAX($G$1:G19)+1))</f>
        <v>0</v>
      </c>
      <c r="H20" s="219" t="str">
        <f>IF($C$1="","",IF('Manufacturing-Testing-Other'!AC16="","",'Manufacturing-Testing-Other'!AC16))</f>
        <v/>
      </c>
      <c r="I20" s="220" t="str">
        <f>IF(H20="","",'Manufacturing-Testing-Other'!AD16)</f>
        <v/>
      </c>
      <c r="J20" s="219" t="str">
        <f>IF(H20="","",'Manufacturing-Testing-Other'!AE16)</f>
        <v/>
      </c>
      <c r="K20" s="219" t="str">
        <f>IF(H20="","",'Manufacturing-Testing-Other'!AF16)</f>
        <v/>
      </c>
      <c r="L20" s="97"/>
    </row>
    <row r="21" spans="1:12" ht="25.2" customHeight="1" x14ac:dyDescent="0.3">
      <c r="A21" s="150" t="str">
        <f t="shared" ca="1" si="3"/>
        <v/>
      </c>
      <c r="B21" s="104" t="str">
        <f t="shared" ca="1" si="4"/>
        <v/>
      </c>
      <c r="C21" s="106" t="str">
        <f t="shared" ca="1" si="0"/>
        <v/>
      </c>
      <c r="D21" s="110" t="str">
        <f t="shared" ca="1" si="1"/>
        <v/>
      </c>
      <c r="E21" s="110" t="str">
        <f t="shared" ca="1" si="2"/>
        <v/>
      </c>
      <c r="F21" s="111"/>
      <c r="G21">
        <f>IF(H21="",0,(MAX($G$1:G20)+1))</f>
        <v>0</v>
      </c>
      <c r="H21" s="219" t="str">
        <f>IF($C$1="","",IF('Manufacturing-Testing-Other'!AC17="","",'Manufacturing-Testing-Other'!AC17))</f>
        <v/>
      </c>
      <c r="I21" s="220" t="str">
        <f>IF(H21="","",'Manufacturing-Testing-Other'!AD17)</f>
        <v/>
      </c>
      <c r="J21" s="219" t="str">
        <f>IF(H21="","",'Manufacturing-Testing-Other'!AE17)</f>
        <v/>
      </c>
      <c r="K21" s="219" t="str">
        <f>IF(H21="","",'Manufacturing-Testing-Other'!AF17)</f>
        <v/>
      </c>
      <c r="L21" s="97"/>
    </row>
    <row r="22" spans="1:12" ht="25.2" customHeight="1" x14ac:dyDescent="0.3">
      <c r="A22" s="150" t="str">
        <f t="shared" ca="1" si="3"/>
        <v/>
      </c>
      <c r="B22" s="104" t="str">
        <f t="shared" ca="1" si="4"/>
        <v/>
      </c>
      <c r="C22" s="106" t="str">
        <f t="shared" ca="1" si="0"/>
        <v/>
      </c>
      <c r="D22" s="110" t="str">
        <f t="shared" ca="1" si="1"/>
        <v/>
      </c>
      <c r="E22" s="110" t="str">
        <f t="shared" ca="1" si="2"/>
        <v/>
      </c>
      <c r="F22" s="111"/>
      <c r="G22">
        <f ca="1">IF(H22="",0,(MAX($G$1:G21)+1))</f>
        <v>0</v>
      </c>
      <c r="H22" t="str">
        <f ca="1">IF('Manufacturing-Testing-Other'!V22&gt;0,CONCATENATE('Manufacturing-Testing-Other'!K22,": ",'Manufacturing-Testing-Other'!L22),"")</f>
        <v/>
      </c>
      <c r="I22" s="119" t="str">
        <f ca="1">IF('Manufacturing-Testing-Other'!V22&gt;0,'Manufacturing-Testing-Other'!R22,"")</f>
        <v/>
      </c>
      <c r="J22" t="str">
        <f ca="1">IF('Manufacturing-Testing-Other'!V22&gt;0,'Manufacturing-Testing-Other'!S22,"")</f>
        <v/>
      </c>
      <c r="K22" t="str">
        <f ca="1">IF('Manufacturing-Testing-Other'!V22&gt;0,'Manufacturing-Testing-Other'!V22,"")</f>
        <v/>
      </c>
      <c r="L22" s="97"/>
    </row>
    <row r="23" spans="1:12" ht="25.2" customHeight="1" x14ac:dyDescent="0.3">
      <c r="A23" s="150" t="str">
        <f t="shared" ca="1" si="3"/>
        <v/>
      </c>
      <c r="B23" s="104" t="str">
        <f t="shared" ca="1" si="4"/>
        <v/>
      </c>
      <c r="C23" s="106" t="str">
        <f t="shared" ca="1" si="0"/>
        <v/>
      </c>
      <c r="D23" s="110" t="str">
        <f t="shared" ca="1" si="1"/>
        <v/>
      </c>
      <c r="E23" s="110" t="str">
        <f t="shared" ca="1" si="2"/>
        <v/>
      </c>
      <c r="F23" s="111"/>
      <c r="G23">
        <f ca="1">IF(H23="",0,(MAX($G$1:G22)+1))</f>
        <v>0</v>
      </c>
      <c r="H23" t="str">
        <f ca="1">IF('Manufacturing-Testing-Other'!V23&gt;0,CONCATENATE('Manufacturing-Testing-Other'!K23,": ",'Manufacturing-Testing-Other'!L23),"")</f>
        <v/>
      </c>
      <c r="I23" s="315" t="str">
        <f ca="1">IF('Manufacturing-Testing-Other'!V23&gt;0,'Manufacturing-Testing-Other'!R23,"")</f>
        <v/>
      </c>
      <c r="J23" t="str">
        <f ca="1">IF('Manufacturing-Testing-Other'!V23&gt;0,'Manufacturing-Testing-Other'!S23,"")</f>
        <v/>
      </c>
      <c r="K23" t="str">
        <f ca="1">IF('Manufacturing-Testing-Other'!V23&gt;0,'Manufacturing-Testing-Other'!V23,"")</f>
        <v/>
      </c>
      <c r="L23" s="97"/>
    </row>
    <row r="24" spans="1:12" ht="25.2" customHeight="1" x14ac:dyDescent="0.3">
      <c r="A24" s="150" t="str">
        <f t="shared" ca="1" si="3"/>
        <v/>
      </c>
      <c r="B24" s="104" t="str">
        <f t="shared" ca="1" si="4"/>
        <v/>
      </c>
      <c r="C24" s="106" t="str">
        <f t="shared" ca="1" si="0"/>
        <v/>
      </c>
      <c r="D24" s="110" t="str">
        <f t="shared" ca="1" si="1"/>
        <v/>
      </c>
      <c r="E24" s="110" t="str">
        <f t="shared" ca="1" si="2"/>
        <v/>
      </c>
      <c r="F24" s="111"/>
      <c r="G24">
        <f ca="1">IF(H24="",0,(MAX($G$1:G23)+1))</f>
        <v>0</v>
      </c>
      <c r="H24" t="str">
        <f ca="1">IF('Manufacturing-Testing-Other'!V24&gt;0,CONCATENATE('Manufacturing-Testing-Other'!K24,": ",'Manufacturing-Testing-Other'!L24),"")</f>
        <v/>
      </c>
      <c r="I24" s="315" t="str">
        <f ca="1">IF('Manufacturing-Testing-Other'!V24&gt;0,'Manufacturing-Testing-Other'!R24,"")</f>
        <v/>
      </c>
      <c r="J24" t="str">
        <f ca="1">IF('Manufacturing-Testing-Other'!V24&gt;0,'Manufacturing-Testing-Other'!S24,"")</f>
        <v/>
      </c>
      <c r="K24" t="str">
        <f ca="1">IF('Manufacturing-Testing-Other'!V24&gt;0,'Manufacturing-Testing-Other'!V24,"")</f>
        <v/>
      </c>
      <c r="L24" s="97"/>
    </row>
    <row r="25" spans="1:12" ht="25.2" customHeight="1" x14ac:dyDescent="0.3">
      <c r="A25" s="150" t="str">
        <f t="shared" ca="1" si="3"/>
        <v/>
      </c>
      <c r="B25" s="104" t="str">
        <f t="shared" ca="1" si="4"/>
        <v/>
      </c>
      <c r="C25" s="106" t="str">
        <f t="shared" ca="1" si="0"/>
        <v/>
      </c>
      <c r="D25" s="110" t="str">
        <f t="shared" ca="1" si="1"/>
        <v/>
      </c>
      <c r="E25" s="110" t="str">
        <f t="shared" ca="1" si="2"/>
        <v/>
      </c>
      <c r="F25" s="111"/>
      <c r="G25">
        <f ca="1">IF(H25="",0,(MAX($G$1:G24)+1))</f>
        <v>0</v>
      </c>
      <c r="H25" t="str">
        <f ca="1">IF('Manufacturing-Testing-Other'!V25&gt;0,CONCATENATE('Manufacturing-Testing-Other'!K25,": ",'Manufacturing-Testing-Other'!L25),"")</f>
        <v/>
      </c>
      <c r="I25" s="315" t="str">
        <f ca="1">IF('Manufacturing-Testing-Other'!V25&gt;0,'Manufacturing-Testing-Other'!R25,"")</f>
        <v/>
      </c>
      <c r="J25" t="str">
        <f ca="1">IF('Manufacturing-Testing-Other'!V25&gt;0,'Manufacturing-Testing-Other'!S25,"")</f>
        <v/>
      </c>
      <c r="K25" t="str">
        <f ca="1">IF('Manufacturing-Testing-Other'!V25&gt;0,'Manufacturing-Testing-Other'!V25,"")</f>
        <v/>
      </c>
      <c r="L25" s="97"/>
    </row>
    <row r="26" spans="1:12" ht="25.2" customHeight="1" x14ac:dyDescent="0.3">
      <c r="A26" s="150" t="str">
        <f t="shared" ca="1" si="3"/>
        <v/>
      </c>
      <c r="B26" s="104" t="str">
        <f t="shared" ca="1" si="4"/>
        <v/>
      </c>
      <c r="C26" s="106" t="str">
        <f t="shared" ca="1" si="0"/>
        <v/>
      </c>
      <c r="D26" s="110" t="str">
        <f t="shared" ca="1" si="1"/>
        <v/>
      </c>
      <c r="E26" s="110" t="str">
        <f t="shared" ca="1" si="2"/>
        <v/>
      </c>
      <c r="F26" s="111"/>
      <c r="G26">
        <f ca="1">IF(H26="",0,(MAX($G$1:G25)+1))</f>
        <v>0</v>
      </c>
      <c r="H26" t="str">
        <f ca="1">IF('Manufacturing-Testing-Other'!V26&gt;0,CONCATENATE('Manufacturing-Testing-Other'!K26,": ",'Manufacturing-Testing-Other'!L26),"")</f>
        <v/>
      </c>
      <c r="I26" s="315" t="str">
        <f ca="1">IF('Manufacturing-Testing-Other'!V26&gt;0,'Manufacturing-Testing-Other'!R26,"")</f>
        <v/>
      </c>
      <c r="J26" t="str">
        <f ca="1">IF('Manufacturing-Testing-Other'!V26&gt;0,'Manufacturing-Testing-Other'!S26,"")</f>
        <v/>
      </c>
      <c r="K26" t="str">
        <f ca="1">IF('Manufacturing-Testing-Other'!V26&gt;0,'Manufacturing-Testing-Other'!V26,"")</f>
        <v/>
      </c>
      <c r="L26" s="97"/>
    </row>
    <row r="27" spans="1:12" ht="25.2" customHeight="1" x14ac:dyDescent="0.3">
      <c r="A27" s="150" t="str">
        <f t="shared" ca="1" si="3"/>
        <v/>
      </c>
      <c r="B27" s="104" t="str">
        <f t="shared" ca="1" si="4"/>
        <v/>
      </c>
      <c r="C27" s="106" t="str">
        <f t="shared" ca="1" si="0"/>
        <v/>
      </c>
      <c r="D27" s="110" t="str">
        <f t="shared" ca="1" si="1"/>
        <v/>
      </c>
      <c r="E27" s="110" t="str">
        <f t="shared" ca="1" si="2"/>
        <v/>
      </c>
      <c r="F27" s="111"/>
      <c r="G27">
        <f ca="1">IF(H27="",0,(MAX($G$1:G26)+1))</f>
        <v>0</v>
      </c>
      <c r="H27" t="str">
        <f ca="1">IF('Manufacturing-Testing-Other'!V27&gt;0,CONCATENATE('Manufacturing-Testing-Other'!K27,": ",'Manufacturing-Testing-Other'!L27),"")</f>
        <v/>
      </c>
      <c r="I27" s="315" t="str">
        <f ca="1">IF('Manufacturing-Testing-Other'!V27&gt;0,'Manufacturing-Testing-Other'!R27,"")</f>
        <v/>
      </c>
      <c r="J27" t="str">
        <f ca="1">IF('Manufacturing-Testing-Other'!V27&gt;0,'Manufacturing-Testing-Other'!S27,"")</f>
        <v/>
      </c>
      <c r="K27" t="str">
        <f ca="1">IF('Manufacturing-Testing-Other'!V27&gt;0,'Manufacturing-Testing-Other'!V27,"")</f>
        <v/>
      </c>
      <c r="L27" s="97"/>
    </row>
    <row r="28" spans="1:12" ht="25.2" customHeight="1" x14ac:dyDescent="0.3">
      <c r="A28" s="150" t="str">
        <f t="shared" ca="1" si="3"/>
        <v/>
      </c>
      <c r="B28" s="104" t="str">
        <f t="shared" ca="1" si="4"/>
        <v/>
      </c>
      <c r="C28" s="106" t="str">
        <f t="shared" ca="1" si="0"/>
        <v/>
      </c>
      <c r="D28" s="110" t="str">
        <f t="shared" ca="1" si="1"/>
        <v/>
      </c>
      <c r="E28" s="110" t="str">
        <f t="shared" ca="1" si="2"/>
        <v/>
      </c>
      <c r="F28" s="111"/>
      <c r="G28">
        <f ca="1">IF(H28="",0,(MAX($G$1:G27)+1))</f>
        <v>0</v>
      </c>
      <c r="H28" t="str">
        <f ca="1">IF('Manufacturing-Testing-Other'!V28&gt;0,CONCATENATE('Manufacturing-Testing-Other'!K28,": ",'Manufacturing-Testing-Other'!L28),"")</f>
        <v/>
      </c>
      <c r="I28" s="315" t="str">
        <f ca="1">IF('Manufacturing-Testing-Other'!V28&gt;0,'Manufacturing-Testing-Other'!R28,"")</f>
        <v/>
      </c>
      <c r="J28" t="str">
        <f ca="1">IF('Manufacturing-Testing-Other'!V28&gt;0,'Manufacturing-Testing-Other'!S28,"")</f>
        <v/>
      </c>
      <c r="K28" t="str">
        <f ca="1">IF('Manufacturing-Testing-Other'!V28&gt;0,'Manufacturing-Testing-Other'!V28,"")</f>
        <v/>
      </c>
      <c r="L28" s="97"/>
    </row>
    <row r="29" spans="1:12" ht="25.2" customHeight="1" x14ac:dyDescent="0.3">
      <c r="A29" s="150" t="str">
        <f t="shared" ca="1" si="3"/>
        <v/>
      </c>
      <c r="B29" s="104" t="str">
        <f t="shared" ca="1" si="4"/>
        <v/>
      </c>
      <c r="C29" s="106" t="str">
        <f t="shared" ca="1" si="0"/>
        <v/>
      </c>
      <c r="D29" s="110" t="str">
        <f t="shared" ca="1" si="1"/>
        <v/>
      </c>
      <c r="E29" s="110" t="str">
        <f t="shared" ca="1" si="2"/>
        <v/>
      </c>
      <c r="F29" s="111"/>
      <c r="G29">
        <f ca="1">IF(H29="",0,(MAX($G$1:G28)+1))</f>
        <v>0</v>
      </c>
      <c r="H29" t="str">
        <f ca="1">IF('Manufacturing-Testing-Other'!V29&gt;0,CONCATENATE('Manufacturing-Testing-Other'!K29,": ",'Manufacturing-Testing-Other'!L29),"")</f>
        <v/>
      </c>
      <c r="I29" s="315" t="str">
        <f ca="1">IF('Manufacturing-Testing-Other'!V29&gt;0,'Manufacturing-Testing-Other'!R29,"")</f>
        <v/>
      </c>
      <c r="J29" t="str">
        <f ca="1">IF('Manufacturing-Testing-Other'!V29&gt;0,'Manufacturing-Testing-Other'!S29,"")</f>
        <v/>
      </c>
      <c r="K29" t="str">
        <f ca="1">IF('Manufacturing-Testing-Other'!V29&gt;0,'Manufacturing-Testing-Other'!V29,"")</f>
        <v/>
      </c>
      <c r="L29" s="97"/>
    </row>
    <row r="30" spans="1:12" ht="25.2" customHeight="1" x14ac:dyDescent="0.3">
      <c r="A30" s="150" t="str">
        <f t="shared" ca="1" si="3"/>
        <v/>
      </c>
      <c r="B30" s="104" t="str">
        <f t="shared" ca="1" si="4"/>
        <v/>
      </c>
      <c r="C30" s="106" t="str">
        <f t="shared" ca="1" si="0"/>
        <v/>
      </c>
      <c r="D30" s="110" t="str">
        <f t="shared" ca="1" si="1"/>
        <v/>
      </c>
      <c r="E30" s="110" t="str">
        <f t="shared" ca="1" si="2"/>
        <v/>
      </c>
      <c r="F30" s="111"/>
      <c r="G30">
        <f ca="1">IF(H30="",0,(MAX($G$1:G29)+1))</f>
        <v>0</v>
      </c>
      <c r="H30" t="str">
        <f ca="1">IF('Manufacturing-Testing-Other'!V30&gt;0,CONCATENATE('Manufacturing-Testing-Other'!K30,": ",'Manufacturing-Testing-Other'!L30),"")</f>
        <v/>
      </c>
      <c r="I30" s="315" t="str">
        <f ca="1">IF('Manufacturing-Testing-Other'!V30&gt;0,'Manufacturing-Testing-Other'!R30,"")</f>
        <v/>
      </c>
      <c r="J30" t="str">
        <f ca="1">IF('Manufacturing-Testing-Other'!V30&gt;0,'Manufacturing-Testing-Other'!S30,"")</f>
        <v/>
      </c>
      <c r="K30" t="str">
        <f ca="1">IF('Manufacturing-Testing-Other'!V30&gt;0,'Manufacturing-Testing-Other'!V30,"")</f>
        <v/>
      </c>
      <c r="L30" s="97"/>
    </row>
    <row r="31" spans="1:12" ht="25.2" customHeight="1" x14ac:dyDescent="0.3">
      <c r="A31" s="150" t="str">
        <f t="shared" ca="1" si="3"/>
        <v/>
      </c>
      <c r="B31" s="104" t="str">
        <f t="shared" ca="1" si="4"/>
        <v/>
      </c>
      <c r="C31" s="106" t="str">
        <f t="shared" ca="1" si="0"/>
        <v/>
      </c>
      <c r="D31" s="110" t="str">
        <f t="shared" ca="1" si="1"/>
        <v/>
      </c>
      <c r="E31" s="110" t="str">
        <f t="shared" ca="1" si="2"/>
        <v/>
      </c>
      <c r="F31" s="111"/>
      <c r="G31">
        <f ca="1">IF(H31="",0,(MAX($G$1:G30)+1))</f>
        <v>0</v>
      </c>
      <c r="H31" t="str">
        <f ca="1">IF('Manufacturing-Testing-Other'!V31&gt;0,CONCATENATE('Manufacturing-Testing-Other'!K31,": ",'Manufacturing-Testing-Other'!L31),"")</f>
        <v/>
      </c>
      <c r="I31" s="315" t="str">
        <f ca="1">IF('Manufacturing-Testing-Other'!V31&gt;0,'Manufacturing-Testing-Other'!R31,"")</f>
        <v/>
      </c>
      <c r="J31" t="str">
        <f ca="1">IF('Manufacturing-Testing-Other'!V31&gt;0,'Manufacturing-Testing-Other'!S31,"")</f>
        <v/>
      </c>
      <c r="K31" t="str">
        <f ca="1">IF('Manufacturing-Testing-Other'!V31&gt;0,'Manufacturing-Testing-Other'!V31,"")</f>
        <v/>
      </c>
      <c r="L31" s="97"/>
    </row>
    <row r="32" spans="1:12" ht="25.2" customHeight="1" x14ac:dyDescent="0.3">
      <c r="A32" s="150" t="str">
        <f t="shared" ca="1" si="3"/>
        <v/>
      </c>
      <c r="B32" s="104" t="str">
        <f t="shared" ca="1" si="4"/>
        <v/>
      </c>
      <c r="C32" s="106" t="str">
        <f t="shared" ca="1" si="0"/>
        <v/>
      </c>
      <c r="D32" s="110" t="str">
        <f t="shared" ca="1" si="1"/>
        <v/>
      </c>
      <c r="E32" s="110" t="str">
        <f t="shared" ca="1" si="2"/>
        <v/>
      </c>
      <c r="F32" s="111"/>
      <c r="G32">
        <f ca="1">IF(H32="",0,(MAX($G$1:G31)+1))</f>
        <v>0</v>
      </c>
      <c r="H32" t="str">
        <f ca="1">IF('Manufacturing-Testing-Other'!V32&gt;0,CONCATENATE('Manufacturing-Testing-Other'!K32,": ",'Manufacturing-Testing-Other'!L32),"")</f>
        <v/>
      </c>
      <c r="I32" s="315" t="str">
        <f ca="1">IF('Manufacturing-Testing-Other'!V32&gt;0,'Manufacturing-Testing-Other'!R32,"")</f>
        <v/>
      </c>
      <c r="J32" t="str">
        <f ca="1">IF('Manufacturing-Testing-Other'!V32&gt;0,'Manufacturing-Testing-Other'!S32,"")</f>
        <v/>
      </c>
      <c r="K32" t="str">
        <f ca="1">IF('Manufacturing-Testing-Other'!V32&gt;0,'Manufacturing-Testing-Other'!V32,"")</f>
        <v/>
      </c>
      <c r="L32" s="97"/>
    </row>
    <row r="33" spans="1:12" ht="25.2" customHeight="1" x14ac:dyDescent="0.3">
      <c r="A33" s="150" t="str">
        <f t="shared" ca="1" si="3"/>
        <v/>
      </c>
      <c r="B33" s="104" t="str">
        <f t="shared" ca="1" si="4"/>
        <v/>
      </c>
      <c r="C33" s="106" t="str">
        <f t="shared" ca="1" si="0"/>
        <v/>
      </c>
      <c r="D33" s="110" t="str">
        <f t="shared" ca="1" si="1"/>
        <v/>
      </c>
      <c r="E33" s="110" t="str">
        <f t="shared" ca="1" si="2"/>
        <v/>
      </c>
      <c r="F33" s="111"/>
      <c r="G33">
        <f>IF(H33="",0,(MAX($G$1:G32)+1))</f>
        <v>0</v>
      </c>
      <c r="H33" t="str">
        <f>IF('Manufacturing-Testing-Other'!V33&gt;0,CONCATENATE('Manufacturing-Testing-Other'!K33,": ",'Manufacturing-Testing-Other'!L33),"")</f>
        <v/>
      </c>
      <c r="I33" s="315" t="str">
        <f>IF('Manufacturing-Testing-Other'!V33&gt;0,'Manufacturing-Testing-Other'!R33,"")</f>
        <v/>
      </c>
      <c r="J33" t="str">
        <f>IF('Manufacturing-Testing-Other'!V33&gt;0,'Manufacturing-Testing-Other'!S33,"")</f>
        <v/>
      </c>
      <c r="K33" t="str">
        <f>IF('Manufacturing-Testing-Other'!V33&gt;0,'Manufacturing-Testing-Other'!V33,"")</f>
        <v/>
      </c>
      <c r="L33" s="97"/>
    </row>
    <row r="34" spans="1:12" ht="25.2" customHeight="1" x14ac:dyDescent="0.3">
      <c r="A34" s="150" t="str">
        <f t="shared" ca="1" si="3"/>
        <v/>
      </c>
      <c r="B34" s="104" t="str">
        <f t="shared" ca="1" si="4"/>
        <v/>
      </c>
      <c r="C34" s="106" t="str">
        <f t="shared" ca="1" si="0"/>
        <v/>
      </c>
      <c r="D34" s="110" t="str">
        <f t="shared" ca="1" si="1"/>
        <v/>
      </c>
      <c r="E34" s="110" t="str">
        <f t="shared" ca="1" si="2"/>
        <v/>
      </c>
      <c r="F34" s="111"/>
      <c r="G34">
        <f>IF(H34="",0,(MAX($G$1:G33)+1))</f>
        <v>0</v>
      </c>
      <c r="H34" t="str">
        <f>IF('Manufacturing-Testing-Other'!V34&gt;0,CONCATENATE('Manufacturing-Testing-Other'!K34,": ",'Manufacturing-Testing-Other'!L34),"")</f>
        <v/>
      </c>
      <c r="I34" s="315" t="str">
        <f>IF('Manufacturing-Testing-Other'!V34&gt;0,'Manufacturing-Testing-Other'!R34,"")</f>
        <v/>
      </c>
      <c r="J34" t="str">
        <f>IF('Manufacturing-Testing-Other'!V34&gt;0,'Manufacturing-Testing-Other'!S34,"")</f>
        <v/>
      </c>
      <c r="K34" t="str">
        <f>IF('Manufacturing-Testing-Other'!V34&gt;0,'Manufacturing-Testing-Other'!V34,"")</f>
        <v/>
      </c>
      <c r="L34" s="97"/>
    </row>
    <row r="35" spans="1:12" ht="25.2" customHeight="1" x14ac:dyDescent="0.3">
      <c r="A35" s="150" t="str">
        <f t="shared" ca="1" si="3"/>
        <v/>
      </c>
      <c r="B35" s="104" t="str">
        <f t="shared" ca="1" si="4"/>
        <v/>
      </c>
      <c r="C35" s="106" t="str">
        <f t="shared" ca="1" si="0"/>
        <v/>
      </c>
      <c r="D35" s="110" t="str">
        <f t="shared" ca="1" si="1"/>
        <v/>
      </c>
      <c r="E35" s="110" t="str">
        <f t="shared" ca="1" si="2"/>
        <v/>
      </c>
      <c r="F35" s="111"/>
      <c r="G35">
        <f>IF(H35="",0,(MAX($G$1:G34)+1))</f>
        <v>0</v>
      </c>
      <c r="H35" t="str">
        <f>IF('Manufacturing-Testing-Other'!V35&gt;0,CONCATENATE('Manufacturing-Testing-Other'!K35,": ",'Manufacturing-Testing-Other'!L35),"")</f>
        <v/>
      </c>
      <c r="I35" s="315" t="str">
        <f>IF('Manufacturing-Testing-Other'!V35&gt;0,'Manufacturing-Testing-Other'!R35,"")</f>
        <v/>
      </c>
      <c r="J35" t="str">
        <f>IF('Manufacturing-Testing-Other'!V35&gt;0,'Manufacturing-Testing-Other'!S35,"")</f>
        <v/>
      </c>
      <c r="K35" t="str">
        <f>IF('Manufacturing-Testing-Other'!V35&gt;0,'Manufacturing-Testing-Other'!V35,"")</f>
        <v/>
      </c>
      <c r="L35" s="97"/>
    </row>
    <row r="36" spans="1:12" ht="25.2" customHeight="1" x14ac:dyDescent="0.3">
      <c r="A36" s="150" t="str">
        <f t="shared" ca="1" si="3"/>
        <v/>
      </c>
      <c r="B36" s="104" t="str">
        <f t="shared" ca="1" si="4"/>
        <v/>
      </c>
      <c r="C36" s="106" t="str">
        <f t="shared" ca="1" si="0"/>
        <v/>
      </c>
      <c r="D36" s="110" t="str">
        <f t="shared" ca="1" si="1"/>
        <v/>
      </c>
      <c r="E36" s="110" t="str">
        <f t="shared" ca="1" si="2"/>
        <v/>
      </c>
      <c r="F36" s="111"/>
      <c r="G36">
        <f>IF(H36="",0,(MAX($G$1:G35)+1))</f>
        <v>0</v>
      </c>
      <c r="H36" t="str">
        <f>IF('Manufacturing-Testing-Other'!V36&gt;0,CONCATENATE('Manufacturing-Testing-Other'!K36,": ",'Manufacturing-Testing-Other'!L36),"")</f>
        <v/>
      </c>
      <c r="I36" s="315" t="str">
        <f>IF('Manufacturing-Testing-Other'!V36&gt;0,'Manufacturing-Testing-Other'!R36,"")</f>
        <v/>
      </c>
      <c r="J36" t="str">
        <f>IF('Manufacturing-Testing-Other'!V36&gt;0,'Manufacturing-Testing-Other'!S36,"")</f>
        <v/>
      </c>
      <c r="K36" t="str">
        <f>IF('Manufacturing-Testing-Other'!V36&gt;0,'Manufacturing-Testing-Other'!V36,"")</f>
        <v/>
      </c>
      <c r="L36" s="97"/>
    </row>
    <row r="37" spans="1:12" ht="25.2" customHeight="1" x14ac:dyDescent="0.3">
      <c r="A37" s="150" t="str">
        <f t="shared" ca="1" si="3"/>
        <v/>
      </c>
      <c r="B37" s="104" t="str">
        <f t="shared" ca="1" si="4"/>
        <v/>
      </c>
      <c r="C37" s="106" t="str">
        <f t="shared" ca="1" si="0"/>
        <v/>
      </c>
      <c r="D37" s="110" t="str">
        <f t="shared" ca="1" si="1"/>
        <v/>
      </c>
      <c r="E37" s="110" t="str">
        <f t="shared" ca="1" si="2"/>
        <v/>
      </c>
      <c r="F37" s="111"/>
      <c r="G37">
        <f>IF(H37="",0,(MAX($G$1:G36)+1))</f>
        <v>0</v>
      </c>
      <c r="H37" t="str">
        <f>IF('Manufacturing-Testing-Other'!V37&gt;0,CONCATENATE('Manufacturing-Testing-Other'!K37,": ",'Manufacturing-Testing-Other'!L37),"")</f>
        <v/>
      </c>
      <c r="I37" s="315" t="str">
        <f>IF('Manufacturing-Testing-Other'!V37&gt;0,'Manufacturing-Testing-Other'!R37,"")</f>
        <v/>
      </c>
      <c r="J37" t="str">
        <f>IF('Manufacturing-Testing-Other'!V37&gt;0,'Manufacturing-Testing-Other'!S37,"")</f>
        <v/>
      </c>
      <c r="K37" t="str">
        <f>IF('Manufacturing-Testing-Other'!V37&gt;0,'Manufacturing-Testing-Other'!V37,"")</f>
        <v/>
      </c>
      <c r="L37" s="97"/>
    </row>
    <row r="38" spans="1:12" ht="25.2" customHeight="1" x14ac:dyDescent="0.3">
      <c r="A38" s="150" t="str">
        <f t="shared" ca="1" si="3"/>
        <v/>
      </c>
      <c r="B38" s="104" t="str">
        <f t="shared" ca="1" si="4"/>
        <v/>
      </c>
      <c r="C38" s="106" t="str">
        <f t="shared" ca="1" si="0"/>
        <v/>
      </c>
      <c r="D38" s="110" t="str">
        <f t="shared" ca="1" si="1"/>
        <v/>
      </c>
      <c r="E38" s="110" t="str">
        <f t="shared" ca="1" si="2"/>
        <v/>
      </c>
      <c r="F38" s="111"/>
      <c r="G38">
        <f>IF(H38="",0,(MAX($G$1:G37)+1))</f>
        <v>0</v>
      </c>
      <c r="H38" t="str">
        <f>IF('Manufacturing-Testing-Other'!V38&gt;0,CONCATENATE('Manufacturing-Testing-Other'!K38,": ",'Manufacturing-Testing-Other'!L38),"")</f>
        <v/>
      </c>
      <c r="I38" s="315" t="str">
        <f>IF('Manufacturing-Testing-Other'!V38&gt;0,'Manufacturing-Testing-Other'!R38,"")</f>
        <v/>
      </c>
      <c r="J38" t="str">
        <f>IF('Manufacturing-Testing-Other'!V38&gt;0,'Manufacturing-Testing-Other'!S38,"")</f>
        <v/>
      </c>
      <c r="K38" t="str">
        <f>IF('Manufacturing-Testing-Other'!V38&gt;0,'Manufacturing-Testing-Other'!V38,"")</f>
        <v/>
      </c>
      <c r="L38" s="10"/>
    </row>
    <row r="39" spans="1:12" ht="25.2" customHeight="1" x14ac:dyDescent="0.3">
      <c r="A39" s="150" t="str">
        <f t="shared" ca="1" si="3"/>
        <v/>
      </c>
      <c r="B39" s="104" t="str">
        <f t="shared" ca="1" si="4"/>
        <v/>
      </c>
      <c r="C39" s="106" t="str">
        <f t="shared" ca="1" si="0"/>
        <v/>
      </c>
      <c r="D39" s="110" t="str">
        <f t="shared" ca="1" si="1"/>
        <v/>
      </c>
      <c r="E39" s="110" t="str">
        <f t="shared" ca="1" si="2"/>
        <v/>
      </c>
      <c r="F39" s="111"/>
      <c r="G39">
        <f>IF(H39="",0,(MAX($G$1:G38)+1))</f>
        <v>0</v>
      </c>
      <c r="H39" t="str">
        <f>IF('Manufacturing-Testing-Other'!V39&gt;0,CONCATENATE('Manufacturing-Testing-Other'!K39,": ",'Manufacturing-Testing-Other'!L39),"")</f>
        <v/>
      </c>
      <c r="I39" s="315" t="str">
        <f>IF('Manufacturing-Testing-Other'!V39&gt;0,'Manufacturing-Testing-Other'!R39,"")</f>
        <v/>
      </c>
      <c r="J39" t="str">
        <f>IF('Manufacturing-Testing-Other'!V39&gt;0,'Manufacturing-Testing-Other'!S39,"")</f>
        <v/>
      </c>
      <c r="K39" t="str">
        <f>IF('Manufacturing-Testing-Other'!V39&gt;0,'Manufacturing-Testing-Other'!V39,"")</f>
        <v/>
      </c>
      <c r="L39" s="97"/>
    </row>
    <row r="40" spans="1:12" ht="25.2" customHeight="1" x14ac:dyDescent="0.3">
      <c r="A40" s="150" t="str">
        <f t="shared" ca="1" si="3"/>
        <v/>
      </c>
      <c r="B40" s="104" t="str">
        <f t="shared" ca="1" si="4"/>
        <v/>
      </c>
      <c r="C40" s="106" t="str">
        <f t="shared" ca="1" si="0"/>
        <v/>
      </c>
      <c r="D40" s="110" t="str">
        <f t="shared" ca="1" si="1"/>
        <v/>
      </c>
      <c r="E40" s="110" t="str">
        <f t="shared" ca="1" si="2"/>
        <v/>
      </c>
      <c r="F40" s="111"/>
      <c r="G40">
        <f>IF(H40="",0,(MAX($G$1:G39)+1))</f>
        <v>0</v>
      </c>
      <c r="H40" t="str">
        <f>IF('Manufacturing-Testing-Other'!V40&gt;0,CONCATENATE('Manufacturing-Testing-Other'!K40,'Manufacturing-Testing-Other'!L40),"")</f>
        <v/>
      </c>
      <c r="I40" s="315" t="str">
        <f>IF('Manufacturing-Testing-Other'!V40&gt;0,'Manufacturing-Testing-Other'!R40,"")</f>
        <v/>
      </c>
      <c r="J40" t="str">
        <f>IF('Manufacturing-Testing-Other'!V40&gt;0,'Manufacturing-Testing-Other'!S40,"")</f>
        <v/>
      </c>
      <c r="K40" t="str">
        <f>IF('Manufacturing-Testing-Other'!V40&gt;0,'Manufacturing-Testing-Other'!V40,"")</f>
        <v/>
      </c>
      <c r="L40" s="97"/>
    </row>
    <row r="41" spans="1:12" ht="25.2" customHeight="1" x14ac:dyDescent="0.3">
      <c r="A41" s="150" t="str">
        <f t="shared" ca="1" si="3"/>
        <v/>
      </c>
      <c r="B41" s="104" t="str">
        <f t="shared" ca="1" si="4"/>
        <v/>
      </c>
      <c r="C41" s="106" t="str">
        <f t="shared" ca="1" si="0"/>
        <v/>
      </c>
      <c r="D41" s="110" t="str">
        <f t="shared" ca="1" si="1"/>
        <v/>
      </c>
      <c r="E41" s="110" t="str">
        <f t="shared" ca="1" si="2"/>
        <v/>
      </c>
      <c r="F41" s="111"/>
      <c r="G41">
        <f>IF(H41="",0,(MAX($G$1:G40)+1))</f>
        <v>0</v>
      </c>
      <c r="H41" t="str">
        <f>IF('Manufacturing-Testing-Other'!V41&gt;0,CONCATENATE('Manufacturing-Testing-Other'!K41,": ",'Manufacturing-Testing-Other'!L41),"")</f>
        <v/>
      </c>
      <c r="I41" s="315" t="str">
        <f>IF('Manufacturing-Testing-Other'!V41&gt;0,'Manufacturing-Testing-Other'!R41,"")</f>
        <v/>
      </c>
      <c r="J41" t="str">
        <f>IF('Manufacturing-Testing-Other'!V41&gt;0,'Manufacturing-Testing-Other'!S41,"")</f>
        <v/>
      </c>
      <c r="K41" t="str">
        <f>IF('Manufacturing-Testing-Other'!V41&gt;0,'Manufacturing-Testing-Other'!V41,"")</f>
        <v/>
      </c>
      <c r="L41" s="97"/>
    </row>
    <row r="42" spans="1:12" ht="25.2" customHeight="1" x14ac:dyDescent="0.3">
      <c r="A42" s="150" t="str">
        <f t="shared" ca="1" si="3"/>
        <v/>
      </c>
      <c r="B42" s="104" t="str">
        <f t="shared" ca="1" si="4"/>
        <v/>
      </c>
      <c r="C42" s="106" t="str">
        <f t="shared" ca="1" si="0"/>
        <v/>
      </c>
      <c r="D42" s="110" t="str">
        <f t="shared" ca="1" si="1"/>
        <v/>
      </c>
      <c r="E42" s="110" t="str">
        <f t="shared" ca="1" si="2"/>
        <v/>
      </c>
      <c r="F42" s="111"/>
      <c r="G42">
        <f>IF(H42="",0,(MAX($G$1:G41)+1))</f>
        <v>0</v>
      </c>
      <c r="H42" t="str">
        <f>IF('Manufacturing-Testing-Other'!V42&gt;0,CONCATENATE('Manufacturing-Testing-Other'!K42,": ",'Manufacturing-Testing-Other'!L42),"")</f>
        <v/>
      </c>
      <c r="I42" s="315" t="str">
        <f>IF('Manufacturing-Testing-Other'!V42&gt;0,'Manufacturing-Testing-Other'!R42,"")</f>
        <v/>
      </c>
      <c r="J42" t="str">
        <f>IF('Manufacturing-Testing-Other'!V42&gt;0,'Manufacturing-Testing-Other'!S42,"")</f>
        <v/>
      </c>
      <c r="K42" t="str">
        <f>IF('Manufacturing-Testing-Other'!V42&gt;0,'Manufacturing-Testing-Other'!V42,"")</f>
        <v/>
      </c>
      <c r="L42" s="97"/>
    </row>
    <row r="43" spans="1:12" ht="25.2" customHeight="1" x14ac:dyDescent="0.3">
      <c r="A43" s="150" t="str">
        <f t="shared" ca="1" si="3"/>
        <v/>
      </c>
      <c r="B43" s="104" t="str">
        <f t="shared" ca="1" si="4"/>
        <v/>
      </c>
      <c r="C43" s="106" t="str">
        <f t="shared" ca="1" si="0"/>
        <v/>
      </c>
      <c r="D43" s="110" t="str">
        <f t="shared" ca="1" si="1"/>
        <v/>
      </c>
      <c r="E43" s="110" t="str">
        <f t="shared" ca="1" si="2"/>
        <v/>
      </c>
      <c r="F43" s="111"/>
      <c r="G43">
        <f>IF(H43="",0,(MAX($G$1:G42)+1))</f>
        <v>0</v>
      </c>
      <c r="H43" t="str">
        <f>IF('Manufacturing-Testing-Other'!V43&gt;0,CONCATENATE('Manufacturing-Testing-Other'!K43,": ",'Manufacturing-Testing-Other'!L43),"")</f>
        <v/>
      </c>
      <c r="I43" s="315" t="str">
        <f>IF('Manufacturing-Testing-Other'!V43&gt;0,'Manufacturing-Testing-Other'!R43,"")</f>
        <v/>
      </c>
      <c r="J43" t="str">
        <f>IF('Manufacturing-Testing-Other'!V43&gt;0,'Manufacturing-Testing-Other'!S43,"")</f>
        <v/>
      </c>
      <c r="K43" t="str">
        <f>IF('Manufacturing-Testing-Other'!V43&gt;0,'Manufacturing-Testing-Other'!V43,"")</f>
        <v/>
      </c>
      <c r="L43" s="97"/>
    </row>
    <row r="44" spans="1:12" ht="25.2" customHeight="1" x14ac:dyDescent="0.3">
      <c r="A44" s="150" t="str">
        <f t="shared" ca="1" si="3"/>
        <v/>
      </c>
      <c r="B44" s="104" t="str">
        <f t="shared" ca="1" si="4"/>
        <v/>
      </c>
      <c r="C44" s="106" t="str">
        <f t="shared" ca="1" si="0"/>
        <v/>
      </c>
      <c r="D44" s="110" t="str">
        <f t="shared" ca="1" si="1"/>
        <v/>
      </c>
      <c r="E44" s="110" t="str">
        <f t="shared" ca="1" si="2"/>
        <v/>
      </c>
      <c r="F44" s="111"/>
      <c r="G44">
        <f>IF(H44="",0,(MAX($G$1:G43)+1))</f>
        <v>0</v>
      </c>
      <c r="H44" t="str">
        <f>IF('Manufacturing-Testing-Other'!V44&gt;0,CONCATENATE('Manufacturing-Testing-Other'!K44,": ",'Manufacturing-Testing-Other'!L44),"")</f>
        <v/>
      </c>
      <c r="I44" s="315" t="str">
        <f>IF('Manufacturing-Testing-Other'!V44&gt;0,'Manufacturing-Testing-Other'!R44,"")</f>
        <v/>
      </c>
      <c r="J44" t="str">
        <f>IF('Manufacturing-Testing-Other'!V44&gt;0,'Manufacturing-Testing-Other'!S44,"")</f>
        <v/>
      </c>
      <c r="K44" t="str">
        <f>IF('Manufacturing-Testing-Other'!V44&gt;0,'Manufacturing-Testing-Other'!V44,"")</f>
        <v/>
      </c>
      <c r="L44" s="97"/>
    </row>
    <row r="45" spans="1:12" ht="25.2" customHeight="1" x14ac:dyDescent="0.3">
      <c r="A45" s="150" t="str">
        <f t="shared" ca="1" si="3"/>
        <v/>
      </c>
      <c r="B45" s="104" t="str">
        <f t="shared" ca="1" si="4"/>
        <v/>
      </c>
      <c r="C45" s="106" t="str">
        <f t="shared" ca="1" si="0"/>
        <v/>
      </c>
      <c r="D45" s="110" t="str">
        <f t="shared" ca="1" si="1"/>
        <v/>
      </c>
      <c r="E45" s="110" t="str">
        <f t="shared" ca="1" si="2"/>
        <v/>
      </c>
      <c r="F45" s="111"/>
      <c r="G45">
        <f>IF(H45="",0,(MAX($G$1:G44)+1))</f>
        <v>0</v>
      </c>
      <c r="H45" t="str">
        <f>IF('Manufacturing-Testing-Other'!V45&gt;0,CONCATENATE('Manufacturing-Testing-Other'!K45,": ",'Manufacturing-Testing-Other'!L45),"")</f>
        <v/>
      </c>
      <c r="I45" s="315" t="str">
        <f>IF('Manufacturing-Testing-Other'!V45&gt;0,'Manufacturing-Testing-Other'!R45,"")</f>
        <v/>
      </c>
      <c r="J45" t="str">
        <f>IF('Manufacturing-Testing-Other'!V45&gt;0,'Manufacturing-Testing-Other'!S45,"")</f>
        <v/>
      </c>
      <c r="K45" t="str">
        <f>IF('Manufacturing-Testing-Other'!V45&gt;0,'Manufacturing-Testing-Other'!V45,"")</f>
        <v/>
      </c>
      <c r="L45" s="97"/>
    </row>
    <row r="46" spans="1:12" ht="25.2" customHeight="1" x14ac:dyDescent="0.3">
      <c r="A46" s="150" t="str">
        <f t="shared" ca="1" si="3"/>
        <v/>
      </c>
      <c r="B46" s="104" t="str">
        <f t="shared" ca="1" si="4"/>
        <v/>
      </c>
      <c r="C46" s="106" t="str">
        <f t="shared" ca="1" si="0"/>
        <v/>
      </c>
      <c r="D46" s="110" t="str">
        <f t="shared" ca="1" si="1"/>
        <v/>
      </c>
      <c r="E46" s="110" t="str">
        <f t="shared" ca="1" si="2"/>
        <v/>
      </c>
      <c r="F46" s="111"/>
      <c r="G46">
        <f>IF(H46="",0,(MAX($G$1:G45)+1))</f>
        <v>0</v>
      </c>
      <c r="H46" t="str">
        <f>IF('Manufacturing-Testing-Other'!V46&gt;0,CONCATENATE('Manufacturing-Testing-Other'!K46,": ",'Manufacturing-Testing-Other'!L46),"")</f>
        <v/>
      </c>
      <c r="I46" s="315" t="str">
        <f>IF('Manufacturing-Testing-Other'!V46&gt;0,'Manufacturing-Testing-Other'!R46,"")</f>
        <v/>
      </c>
      <c r="J46" t="str">
        <f>IF('Manufacturing-Testing-Other'!V46&gt;0,'Manufacturing-Testing-Other'!S46,"")</f>
        <v/>
      </c>
      <c r="K46" t="str">
        <f>IF('Manufacturing-Testing-Other'!V46&gt;0,'Manufacturing-Testing-Other'!V46,"")</f>
        <v/>
      </c>
      <c r="L46" s="97"/>
    </row>
    <row r="47" spans="1:12" ht="16.05" customHeight="1" x14ac:dyDescent="0.3">
      <c r="A47" s="150" t="str">
        <f t="shared" ca="1" si="3"/>
        <v/>
      </c>
      <c r="B47" s="104" t="str">
        <f t="shared" ca="1" si="4"/>
        <v/>
      </c>
      <c r="C47" s="106" t="str">
        <f t="shared" ca="1" si="0"/>
        <v/>
      </c>
      <c r="D47" s="110" t="str">
        <f t="shared" ca="1" si="1"/>
        <v/>
      </c>
      <c r="E47" s="110" t="str">
        <f t="shared" ca="1" si="2"/>
        <v/>
      </c>
      <c r="F47" s="111"/>
      <c r="G47">
        <f>IF(H47="",0,(MAX($G$1:G46)+1))</f>
        <v>0</v>
      </c>
      <c r="H47" t="str">
        <f>IF('Manufacturing-Testing-Other'!V47&gt;0,CONCATENATE('Manufacturing-Testing-Other'!K47,": ",'Manufacturing-Testing-Other'!L47),"")</f>
        <v/>
      </c>
      <c r="I47" s="315" t="str">
        <f>IF('Manufacturing-Testing-Other'!V47&gt;0,'Manufacturing-Testing-Other'!R47,"")</f>
        <v/>
      </c>
      <c r="J47" t="str">
        <f>IF('Manufacturing-Testing-Other'!V47&gt;0,'Manufacturing-Testing-Other'!S47,"")</f>
        <v/>
      </c>
      <c r="K47" t="str">
        <f>IF('Manufacturing-Testing-Other'!V47&gt;0,'Manufacturing-Testing-Other'!V47,"")</f>
        <v/>
      </c>
      <c r="L47" s="97"/>
    </row>
    <row r="48" spans="1:12" ht="16.05" customHeight="1" x14ac:dyDescent="0.3">
      <c r="A48" s="150" t="str">
        <f t="shared" ca="1" si="3"/>
        <v/>
      </c>
      <c r="B48" s="104" t="str">
        <f t="shared" ca="1" si="4"/>
        <v/>
      </c>
      <c r="C48" s="106" t="str">
        <f t="shared" ca="1" si="0"/>
        <v/>
      </c>
      <c r="D48" s="110" t="str">
        <f t="shared" ca="1" si="1"/>
        <v/>
      </c>
      <c r="E48" s="110" t="str">
        <f t="shared" ca="1" si="2"/>
        <v/>
      </c>
      <c r="F48" s="111"/>
      <c r="G48">
        <f>IF(H48="",0,(MAX($G$1:G47)+1))</f>
        <v>0</v>
      </c>
      <c r="H48" t="str">
        <f>IF('Manufacturing-Testing-Other'!V48&gt;0,CONCATENATE('Manufacturing-Testing-Other'!K48,": ",'Manufacturing-Testing-Other'!L48),"")</f>
        <v/>
      </c>
      <c r="I48" s="315" t="str">
        <f>IF('Manufacturing-Testing-Other'!V48&gt;0,'Manufacturing-Testing-Other'!R48,"")</f>
        <v/>
      </c>
      <c r="J48" t="str">
        <f>IF('Manufacturing-Testing-Other'!V48&gt;0,'Manufacturing-Testing-Other'!S48,"")</f>
        <v/>
      </c>
      <c r="K48" t="str">
        <f>IF('Manufacturing-Testing-Other'!V48&gt;0,'Manufacturing-Testing-Other'!V48,"")</f>
        <v/>
      </c>
      <c r="L48" s="97"/>
    </row>
    <row r="49" spans="1:18" ht="16.05" customHeight="1" x14ac:dyDescent="0.3">
      <c r="A49" s="150" t="str">
        <f t="shared" ca="1" si="3"/>
        <v/>
      </c>
      <c r="B49" s="104" t="str">
        <f t="shared" ca="1" si="4"/>
        <v/>
      </c>
      <c r="C49" s="106" t="str">
        <f t="shared" ca="1" si="0"/>
        <v/>
      </c>
      <c r="D49" s="110" t="str">
        <f t="shared" ca="1" si="1"/>
        <v/>
      </c>
      <c r="E49" s="110" t="str">
        <f t="shared" ca="1" si="2"/>
        <v/>
      </c>
      <c r="F49" s="111"/>
      <c r="G49">
        <f>IF(H49="",0,(MAX($G$1:G48)+1))</f>
        <v>0</v>
      </c>
      <c r="H49" t="str">
        <f>IF('Manufacturing-Testing-Other'!V49&gt;0,CONCATENATE('Manufacturing-Testing-Other'!K49,": ",'Manufacturing-Testing-Other'!L49),"")</f>
        <v/>
      </c>
      <c r="I49" s="315" t="str">
        <f>IF('Manufacturing-Testing-Other'!V49&gt;0,'Manufacturing-Testing-Other'!R49,"")</f>
        <v/>
      </c>
      <c r="J49" t="str">
        <f>IF('Manufacturing-Testing-Other'!V49&gt;0,'Manufacturing-Testing-Other'!S49,"")</f>
        <v/>
      </c>
      <c r="K49" t="str">
        <f>IF('Manufacturing-Testing-Other'!V49&gt;0,'Manufacturing-Testing-Other'!V49,"")</f>
        <v/>
      </c>
      <c r="L49" s="97"/>
    </row>
    <row r="50" spans="1:18" ht="16.05" customHeight="1" x14ac:dyDescent="0.3">
      <c r="A50" s="150" t="str">
        <f t="shared" ca="1" si="3"/>
        <v/>
      </c>
      <c r="B50" s="104" t="str">
        <f t="shared" ca="1" si="4"/>
        <v/>
      </c>
      <c r="C50" s="106" t="str">
        <f t="shared" ca="1" si="0"/>
        <v/>
      </c>
      <c r="D50" s="110" t="str">
        <f t="shared" ca="1" si="1"/>
        <v/>
      </c>
      <c r="E50" s="110" t="str">
        <f t="shared" ca="1" si="2"/>
        <v/>
      </c>
      <c r="F50" s="111"/>
      <c r="G50">
        <f>IF(H50="",0,(MAX($G$1:G49)+1))</f>
        <v>0</v>
      </c>
      <c r="H50" t="str">
        <f>IF('Manufacturing-Testing-Other'!V50&gt;0,CONCATENATE('Manufacturing-Testing-Other'!K50,": ",'Manufacturing-Testing-Other'!L50),"")</f>
        <v/>
      </c>
      <c r="I50" s="315" t="str">
        <f>IF('Manufacturing-Testing-Other'!V50&gt;0,'Manufacturing-Testing-Other'!R50,"")</f>
        <v/>
      </c>
      <c r="J50" t="str">
        <f>IF('Manufacturing-Testing-Other'!V50&gt;0,'Manufacturing-Testing-Other'!S50,"")</f>
        <v/>
      </c>
      <c r="K50" t="str">
        <f>IF('Manufacturing-Testing-Other'!V50&gt;0,'Manufacturing-Testing-Other'!V50,"")</f>
        <v/>
      </c>
      <c r="L50" s="97"/>
    </row>
    <row r="51" spans="1:18" ht="16.05" customHeight="1" x14ac:dyDescent="0.3">
      <c r="A51" s="150" t="str">
        <f t="shared" ca="1" si="3"/>
        <v/>
      </c>
      <c r="B51" s="104" t="str">
        <f t="shared" ca="1" si="4"/>
        <v/>
      </c>
      <c r="C51" s="106" t="str">
        <f t="shared" ca="1" si="0"/>
        <v/>
      </c>
      <c r="D51" s="110" t="str">
        <f t="shared" ca="1" si="1"/>
        <v/>
      </c>
      <c r="E51" s="110" t="str">
        <f t="shared" ca="1" si="2"/>
        <v/>
      </c>
      <c r="F51" s="111"/>
      <c r="G51">
        <f>IF(H51="",0,(MAX($G$1:G50)+1))</f>
        <v>0</v>
      </c>
      <c r="H51" t="str">
        <f>IF('Manufacturing-Testing-Other'!V51&gt;0,CONCATENATE('Manufacturing-Testing-Other'!K51,": ",'Manufacturing-Testing-Other'!L51),"")</f>
        <v/>
      </c>
      <c r="I51" s="315" t="str">
        <f>IF('Manufacturing-Testing-Other'!V51&gt;0,'Manufacturing-Testing-Other'!R51,"")</f>
        <v/>
      </c>
      <c r="J51" t="str">
        <f>IF('Manufacturing-Testing-Other'!V51&gt;0,'Manufacturing-Testing-Other'!S51,"")</f>
        <v/>
      </c>
      <c r="K51" t="str">
        <f>IF('Manufacturing-Testing-Other'!V51&gt;0,'Manufacturing-Testing-Other'!V51,"")</f>
        <v/>
      </c>
      <c r="L51" s="97"/>
      <c r="R51"/>
    </row>
    <row r="52" spans="1:18" ht="16.05" customHeight="1" x14ac:dyDescent="0.3">
      <c r="A52" s="150" t="str">
        <f t="shared" ca="1" si="3"/>
        <v/>
      </c>
      <c r="B52" s="104" t="str">
        <f t="shared" ca="1" si="4"/>
        <v/>
      </c>
      <c r="C52" s="106" t="str">
        <f t="shared" ca="1" si="0"/>
        <v/>
      </c>
      <c r="D52" s="110" t="str">
        <f t="shared" ca="1" si="1"/>
        <v/>
      </c>
      <c r="E52" s="110" t="str">
        <f t="shared" ca="1" si="2"/>
        <v/>
      </c>
      <c r="F52" s="111"/>
      <c r="G52">
        <f>IF(H52="",0,(MAX($G$1:G51)+1))</f>
        <v>0</v>
      </c>
      <c r="H52" t="str">
        <f>IF('Manufacturing-Testing-Other'!V52&gt;0,CONCATENATE('Manufacturing-Testing-Other'!K52,": ",'Manufacturing-Testing-Other'!L52),"")</f>
        <v/>
      </c>
      <c r="I52" s="315" t="str">
        <f>IF('Manufacturing-Testing-Other'!V52&gt;0,'Manufacturing-Testing-Other'!R52,"")</f>
        <v/>
      </c>
      <c r="J52" t="str">
        <f>IF('Manufacturing-Testing-Other'!V52&gt;0,'Manufacturing-Testing-Other'!S52,"")</f>
        <v/>
      </c>
      <c r="K52" t="str">
        <f>IF('Manufacturing-Testing-Other'!V52&gt;0,'Manufacturing-Testing-Other'!V52,"")</f>
        <v/>
      </c>
      <c r="L52" s="97"/>
    </row>
    <row r="53" spans="1:18" ht="16.05" customHeight="1" x14ac:dyDescent="0.3">
      <c r="A53" s="150" t="str">
        <f t="shared" ca="1" si="3"/>
        <v/>
      </c>
      <c r="B53" s="104" t="str">
        <f t="shared" ca="1" si="4"/>
        <v/>
      </c>
      <c r="G53">
        <f>IF(H53="",0,(MAX($G$1:G52)+1))</f>
        <v>0</v>
      </c>
      <c r="H53" t="str">
        <f>IF('Manufacturing-Testing-Other'!V53&gt;0,CONCATENATE('Manufacturing-Testing-Other'!K53,": ",'Manufacturing-Testing-Other'!L53),"")</f>
        <v/>
      </c>
      <c r="I53" s="315" t="str">
        <f>IF('Manufacturing-Testing-Other'!V53&gt;0,'Manufacturing-Testing-Other'!R53,"")</f>
        <v/>
      </c>
      <c r="J53" t="str">
        <f>IF('Manufacturing-Testing-Other'!V53&gt;0,'Manufacturing-Testing-Other'!S53,"")</f>
        <v/>
      </c>
      <c r="K53" t="str">
        <f>IF('Manufacturing-Testing-Other'!V53&gt;0,'Manufacturing-Testing-Other'!V53,"")</f>
        <v/>
      </c>
      <c r="L53" s="97"/>
    </row>
    <row r="54" spans="1:18" ht="16.05" customHeight="1" x14ac:dyDescent="0.3">
      <c r="A54" s="150" t="str">
        <f t="shared" ca="1" si="3"/>
        <v/>
      </c>
      <c r="B54" s="104" t="str">
        <f t="shared" ca="1" si="4"/>
        <v/>
      </c>
      <c r="G54">
        <f>IF(H54="",0,(MAX($G$1:G53)+1))</f>
        <v>0</v>
      </c>
      <c r="H54" t="str">
        <f>IF('Manufacturing-Testing-Other'!V54&gt;0,CONCATENATE('Manufacturing-Testing-Other'!K54,": ",'Manufacturing-Testing-Other'!L54),"")</f>
        <v/>
      </c>
      <c r="I54" s="315" t="str">
        <f>IF('Manufacturing-Testing-Other'!V54&gt;0,'Manufacturing-Testing-Other'!R54,"")</f>
        <v/>
      </c>
      <c r="J54" t="str">
        <f>IF('Manufacturing-Testing-Other'!V54&gt;0,'Manufacturing-Testing-Other'!S54,"")</f>
        <v/>
      </c>
      <c r="K54" t="str">
        <f>IF('Manufacturing-Testing-Other'!V54&gt;0,'Manufacturing-Testing-Other'!V54,"")</f>
        <v/>
      </c>
      <c r="L54" s="97"/>
    </row>
    <row r="55" spans="1:18" x14ac:dyDescent="0.3">
      <c r="A55" s="150" t="str">
        <f t="shared" ca="1" si="3"/>
        <v/>
      </c>
      <c r="B55" s="104" t="str">
        <f t="shared" ca="1" si="4"/>
        <v/>
      </c>
      <c r="G55">
        <f>IF(H55="",0,(MAX($G$1:G54)+1))</f>
        <v>0</v>
      </c>
      <c r="H55" t="str">
        <f>IF('Manufacturing-Testing-Other'!V55&gt;0,CONCATENATE('Manufacturing-Testing-Other'!K55,": ",'Manufacturing-Testing-Other'!L55),"")</f>
        <v/>
      </c>
      <c r="I55" s="315" t="str">
        <f>IF('Manufacturing-Testing-Other'!V55&gt;0,'Manufacturing-Testing-Other'!R55,"")</f>
        <v/>
      </c>
      <c r="J55" t="str">
        <f>IF('Manufacturing-Testing-Other'!V55&gt;0,'Manufacturing-Testing-Other'!S55,"")</f>
        <v/>
      </c>
      <c r="K55" t="str">
        <f>IF('Manufacturing-Testing-Other'!V55&gt;0,'Manufacturing-Testing-Other'!V55,"")</f>
        <v/>
      </c>
      <c r="L55" s="97"/>
    </row>
    <row r="56" spans="1:18" x14ac:dyDescent="0.3">
      <c r="A56" s="150" t="str">
        <f t="shared" ca="1" si="3"/>
        <v/>
      </c>
      <c r="B56" s="104" t="str">
        <f t="shared" ca="1" si="4"/>
        <v/>
      </c>
      <c r="G56">
        <f>IF(H56="",0,(MAX($G$1:G55)+1))</f>
        <v>0</v>
      </c>
      <c r="H56" t="str">
        <f>IF($C$1="","",IF('Drug Prices'!E2="","",CONCATENATE("Drug Purchase: ",'Drug Prices'!A2)))</f>
        <v/>
      </c>
      <c r="I56" s="94" t="str">
        <f>IF(H56="","",IF('Drug Prices'!A2="","",'Drug Prices'!C2))</f>
        <v/>
      </c>
      <c r="J56" t="str">
        <f>IF(H56="","",IF('Drug Prices'!A2="","""",'Drug Prices'!D2))</f>
        <v/>
      </c>
      <c r="K56" t="str">
        <f>IF(H56="","",IF('Drug Prices'!A2="","",'Drug Prices'!E2))</f>
        <v/>
      </c>
      <c r="L56" s="117"/>
    </row>
    <row r="57" spans="1:18" x14ac:dyDescent="0.3">
      <c r="A57" s="150" t="str">
        <f t="shared" ca="1" si="3"/>
        <v/>
      </c>
      <c r="B57" s="104" t="str">
        <f t="shared" ca="1" si="4"/>
        <v/>
      </c>
      <c r="G57">
        <f>IF(H57="",0,(MAX($G$1:G56)+1))</f>
        <v>0</v>
      </c>
      <c r="H57" t="str">
        <f>IF($C$1="","",IF('Drug Prices'!E3="","",CONCATENATE("Drug Purchase: ",'Drug Prices'!A3)))</f>
        <v/>
      </c>
      <c r="I57" s="119" t="str">
        <f>IF(H57="","",IF('Drug Prices'!A3="","",'Drug Prices'!C3))</f>
        <v/>
      </c>
      <c r="J57" t="str">
        <f>IF(H57="","",IF('Drug Prices'!A3="","""",'Drug Prices'!D3))</f>
        <v/>
      </c>
      <c r="K57" t="str">
        <f>IF(H57="","",IF('Drug Prices'!A3="","",'Drug Prices'!E3))</f>
        <v/>
      </c>
      <c r="L57" s="117"/>
    </row>
    <row r="58" spans="1:18" x14ac:dyDescent="0.3">
      <c r="A58" s="150" t="str">
        <f t="shared" ca="1" si="3"/>
        <v/>
      </c>
      <c r="B58" s="104" t="str">
        <f t="shared" ca="1" si="4"/>
        <v/>
      </c>
      <c r="G58">
        <f>IF(H58="",0,(MAX($G$1:G57)+1))</f>
        <v>0</v>
      </c>
      <c r="H58" t="str">
        <f>IF($C$1="","",IF('Drug Prices'!E4="","",CONCATENATE("Drug Purchase: ",'Drug Prices'!A4)))</f>
        <v/>
      </c>
      <c r="I58" s="119" t="str">
        <f>IF(H58="","",IF('Drug Prices'!A4="","",'Drug Prices'!C4))</f>
        <v/>
      </c>
      <c r="J58" t="str">
        <f>IF(H58="","",IF('Drug Prices'!A4="","""",'Drug Prices'!D4))</f>
        <v/>
      </c>
      <c r="K58" t="str">
        <f>IF(H58="","",IF('Drug Prices'!A4="","",'Drug Prices'!E4))</f>
        <v/>
      </c>
      <c r="L58" s="117"/>
    </row>
    <row r="59" spans="1:18" x14ac:dyDescent="0.3">
      <c r="A59" s="150" t="str">
        <f t="shared" ca="1" si="3"/>
        <v/>
      </c>
      <c r="B59" s="104" t="str">
        <f t="shared" ca="1" si="4"/>
        <v/>
      </c>
      <c r="G59">
        <f>IF(H59="",0,(MAX($G$1:G58)+1))</f>
        <v>0</v>
      </c>
      <c r="H59" t="str">
        <f>IF($C$1="","",IF('Drug Prices'!E5="","",CONCATENATE("Drug Purchase: ",'Drug Prices'!A5)))</f>
        <v/>
      </c>
      <c r="I59" s="119" t="str">
        <f>IF(H59="","",IF('Drug Prices'!A5="","",'Drug Prices'!C5))</f>
        <v/>
      </c>
      <c r="J59" t="str">
        <f>IF(H59="","",IF('Drug Prices'!A5="","""",'Drug Prices'!D5))</f>
        <v/>
      </c>
      <c r="K59" t="str">
        <f>IF(H59="","",IF('Drug Prices'!A5="","",'Drug Prices'!E5))</f>
        <v/>
      </c>
      <c r="L59" s="117"/>
    </row>
    <row r="60" spans="1:18" x14ac:dyDescent="0.3">
      <c r="A60" s="150" t="str">
        <f t="shared" ca="1" si="3"/>
        <v/>
      </c>
      <c r="B60" s="104" t="str">
        <f t="shared" ca="1" si="4"/>
        <v/>
      </c>
      <c r="G60">
        <f>IF(H60="",0,(MAX($G$1:G59)+1))</f>
        <v>0</v>
      </c>
      <c r="H60" t="str">
        <f>IF($C$1="","",IF('Drug Prices'!E6="","",CONCATENATE("Drug Purchase: ",'Drug Prices'!A6)))</f>
        <v/>
      </c>
      <c r="I60" s="119" t="str">
        <f>IF(H60="","",IF('Drug Prices'!A6="","",'Drug Prices'!C6))</f>
        <v/>
      </c>
      <c r="J60" t="str">
        <f>IF(H60="","",IF('Drug Prices'!A6="","""",'Drug Prices'!D6))</f>
        <v/>
      </c>
      <c r="K60" t="str">
        <f>IF(H60="","",IF('Drug Prices'!A6="","",'Drug Prices'!E6))</f>
        <v/>
      </c>
      <c r="L60" s="117"/>
    </row>
    <row r="61" spans="1:18" x14ac:dyDescent="0.3">
      <c r="A61" s="150" t="str">
        <f t="shared" ca="1" si="3"/>
        <v/>
      </c>
      <c r="B61" s="104" t="str">
        <f t="shared" ca="1" si="4"/>
        <v/>
      </c>
      <c r="G61">
        <f>IF(H61="",0,(MAX($G$1:G60)+1))</f>
        <v>0</v>
      </c>
      <c r="H61" t="str">
        <f>IF($C$1="","",IF('Drug Prices'!E7="","",CONCATENATE("Drug Purchase: ",'Drug Prices'!A7)))</f>
        <v/>
      </c>
      <c r="I61" s="119" t="str">
        <f>IF(H61="","",IF('Drug Prices'!A7="","",'Drug Prices'!C7))</f>
        <v/>
      </c>
      <c r="J61" t="str">
        <f>IF(H61="","",IF('Drug Prices'!A7="","""",'Drug Prices'!D7))</f>
        <v/>
      </c>
      <c r="K61" t="str">
        <f>IF(H61="","",IF('Drug Prices'!A7="","",'Drug Prices'!E7))</f>
        <v/>
      </c>
      <c r="L61" s="117"/>
    </row>
    <row r="62" spans="1:18" x14ac:dyDescent="0.3">
      <c r="A62" s="150" t="str">
        <f t="shared" ca="1" si="3"/>
        <v/>
      </c>
      <c r="B62" s="104" t="str">
        <f t="shared" ca="1" si="4"/>
        <v/>
      </c>
      <c r="G62">
        <f>IF(H62="",0,(MAX($G$1:G61)+1))</f>
        <v>0</v>
      </c>
      <c r="H62" t="str">
        <f>IF($C$1="","",IF('Drug Prices'!E8="","",CONCATENATE("Drug Purchase: ",'Drug Prices'!A8)))</f>
        <v/>
      </c>
      <c r="I62" s="119" t="str">
        <f>IF(H62="","",IF('Drug Prices'!A8="","",'Drug Prices'!C8))</f>
        <v/>
      </c>
      <c r="J62" t="str">
        <f>IF(H62="","",IF('Drug Prices'!A8="","""",'Drug Prices'!D8))</f>
        <v/>
      </c>
      <c r="K62" t="str">
        <f>IF(H62="","",IF('Drug Prices'!A8="","",'Drug Prices'!E8))</f>
        <v/>
      </c>
      <c r="L62" s="117"/>
    </row>
    <row r="63" spans="1:18" x14ac:dyDescent="0.3">
      <c r="A63" s="150" t="str">
        <f t="shared" ca="1" si="3"/>
        <v/>
      </c>
      <c r="B63" s="104" t="str">
        <f t="shared" ca="1" si="4"/>
        <v/>
      </c>
      <c r="G63">
        <f>IF(H63="",0,(MAX($G$1:G62)+1))</f>
        <v>0</v>
      </c>
      <c r="H63" t="str">
        <f>IF($C$1="","",IF('Drug Prices'!E9="","",CONCATENATE("Drug Purchase: ",'Drug Prices'!A9)))</f>
        <v/>
      </c>
      <c r="I63" s="119" t="str">
        <f>IF(H63="","",IF('Drug Prices'!A9="","",'Drug Prices'!C9))</f>
        <v/>
      </c>
      <c r="J63" t="str">
        <f>IF(H63="","",IF('Drug Prices'!A9="","""",'Drug Prices'!D9))</f>
        <v/>
      </c>
      <c r="K63" t="str">
        <f>IF(H63="","",IF('Drug Prices'!A9="","",'Drug Prices'!E9))</f>
        <v/>
      </c>
      <c r="L63" s="117"/>
    </row>
    <row r="64" spans="1:18" x14ac:dyDescent="0.3">
      <c r="A64" s="150" t="str">
        <f t="shared" ca="1" si="3"/>
        <v/>
      </c>
      <c r="B64" s="104" t="str">
        <f t="shared" ca="1" si="4"/>
        <v/>
      </c>
      <c r="G64">
        <f>IF(H64="",0,(MAX($G$1:G63)+1))</f>
        <v>0</v>
      </c>
      <c r="H64" t="str">
        <f>IF($C$1="","",IF('Drug Prices'!E10="","",CONCATENATE("Drug Purchase: ",'Drug Prices'!A10)))</f>
        <v/>
      </c>
      <c r="I64" s="119" t="str">
        <f>IF(H64="","",IF('Drug Prices'!A10="","",'Drug Prices'!C10))</f>
        <v/>
      </c>
      <c r="J64" t="str">
        <f>IF(H64="","",IF('Drug Prices'!A10="","""",'Drug Prices'!D10))</f>
        <v/>
      </c>
      <c r="K64" t="str">
        <f>IF(H64="","",IF('Drug Prices'!A10="","",'Drug Prices'!E10))</f>
        <v/>
      </c>
      <c r="L64" s="117"/>
    </row>
    <row r="65" spans="1:12" x14ac:dyDescent="0.3">
      <c r="A65" s="150" t="str">
        <f t="shared" ca="1" si="3"/>
        <v/>
      </c>
      <c r="B65" s="104" t="str">
        <f t="shared" ca="1" si="4"/>
        <v/>
      </c>
      <c r="G65">
        <f>IF(H65="",0,(MAX($G$1:G64)+1))</f>
        <v>0</v>
      </c>
      <c r="H65" t="str">
        <f>IF($C$1="","",IF('Drug Prices'!E12="","",CONCATENATE("Supply Purchase: ",'Drug Prices'!A12)))</f>
        <v/>
      </c>
      <c r="I65" s="315" t="str">
        <f>IF(H65="","",IF('Drug Prices'!A12="","",'Drug Prices'!C12))</f>
        <v/>
      </c>
      <c r="J65" t="str">
        <f>IF(H65="","",IF('Drug Prices'!A12="","""",'Drug Prices'!D12))</f>
        <v/>
      </c>
      <c r="K65" t="str">
        <f>IF(H65="","",IF('Drug Prices'!A12="","",'Drug Prices'!E12))</f>
        <v/>
      </c>
      <c r="L65" s="334"/>
    </row>
    <row r="66" spans="1:12" x14ac:dyDescent="0.3">
      <c r="A66" s="150" t="str">
        <f t="shared" ca="1" si="3"/>
        <v/>
      </c>
      <c r="B66" s="104" t="str">
        <f t="shared" ca="1" si="4"/>
        <v/>
      </c>
      <c r="G66">
        <f>IF(H66="",0,(MAX($G$1:G65)+1))</f>
        <v>0</v>
      </c>
      <c r="H66" t="str">
        <f>IF($C$1="","",IF('Drug Prices'!E13="","",CONCATENATE("Supply Purchase: ",'Drug Prices'!A13)))</f>
        <v/>
      </c>
      <c r="I66" s="315" t="str">
        <f>IF(H66="","",IF('Drug Prices'!A13="","",'Drug Prices'!C13))</f>
        <v/>
      </c>
      <c r="J66" t="str">
        <f>IF(H66="","",IF('Drug Prices'!A13="","""",'Drug Prices'!D13))</f>
        <v/>
      </c>
      <c r="K66" t="str">
        <f>IF(H66="","",IF('Drug Prices'!A13="","",'Drug Prices'!E13))</f>
        <v/>
      </c>
      <c r="L66" s="334"/>
    </row>
    <row r="67" spans="1:12" x14ac:dyDescent="0.3">
      <c r="A67" s="150" t="str">
        <f t="shared" ca="1" si="3"/>
        <v/>
      </c>
      <c r="B67" s="104" t="str">
        <f t="shared" ca="1" si="4"/>
        <v/>
      </c>
      <c r="G67">
        <f>IF(H67="",0,(MAX($G$1:G66)+1))</f>
        <v>0</v>
      </c>
      <c r="H67" t="str">
        <f>IF($C$1="","",IF('Drug Prices'!E14="","",CONCATENATE("Supply Purchase: ",'Drug Prices'!A14)))</f>
        <v/>
      </c>
      <c r="I67" s="315" t="str">
        <f>IF(H67="","",IF('Drug Prices'!A14="","",'Drug Prices'!C14))</f>
        <v/>
      </c>
      <c r="J67" t="str">
        <f>IF(H67="","",IF('Drug Prices'!A14="","""",'Drug Prices'!D14))</f>
        <v/>
      </c>
      <c r="K67" t="str">
        <f>IF(H67="","",IF('Drug Prices'!A14="","",'Drug Prices'!E14))</f>
        <v/>
      </c>
      <c r="L67" s="334"/>
    </row>
    <row r="68" spans="1:12" x14ac:dyDescent="0.3">
      <c r="A68" s="150" t="str">
        <f t="shared" ca="1" si="3"/>
        <v/>
      </c>
      <c r="B68" s="104" t="str">
        <f t="shared" ca="1" si="4"/>
        <v/>
      </c>
      <c r="G68">
        <f>IF(H68="",0,(MAX($G$1:G67)+1))</f>
        <v>0</v>
      </c>
      <c r="H68" t="str">
        <f>IF($C$1="","",IF('Drug Prices'!E15="","",CONCATENATE("Supply Purchase: ",'Drug Prices'!A15)))</f>
        <v/>
      </c>
      <c r="I68" s="315" t="str">
        <f>IF(H68="","",IF('Drug Prices'!A15="","",'Drug Prices'!C15))</f>
        <v/>
      </c>
      <c r="J68" t="str">
        <f>IF(H68="","",IF('Drug Prices'!A15="","""",'Drug Prices'!D15))</f>
        <v/>
      </c>
      <c r="K68" t="str">
        <f>IF(H68="","",IF('Drug Prices'!A15="","",'Drug Prices'!E15))</f>
        <v/>
      </c>
      <c r="L68" s="334"/>
    </row>
    <row r="69" spans="1:12" x14ac:dyDescent="0.3">
      <c r="A69" s="150" t="str">
        <f t="shared" ca="1" si="3"/>
        <v/>
      </c>
      <c r="B69" s="104" t="str">
        <f t="shared" ca="1" si="4"/>
        <v/>
      </c>
      <c r="G69">
        <f>IF(H69="",0,(MAX($G$1:G68)+1))</f>
        <v>0</v>
      </c>
      <c r="H69" t="str">
        <f>IF($C$1="","",IF('Drug Prices'!E16="","",CONCATENATE("Supply Purchase: ",'Drug Prices'!A16)))</f>
        <v/>
      </c>
      <c r="I69" s="315" t="str">
        <f>IF(H69="","",IF('Drug Prices'!A16="","",'Drug Prices'!C16))</f>
        <v/>
      </c>
      <c r="J69" t="str">
        <f>IF(H69="","",IF('Drug Prices'!A16="","""",'Drug Prices'!D16))</f>
        <v/>
      </c>
      <c r="K69" t="str">
        <f>IF(H69="","",IF('Drug Prices'!A16="","",'Drug Prices'!E16))</f>
        <v/>
      </c>
      <c r="L69" s="334"/>
    </row>
    <row r="70" spans="1:12" x14ac:dyDescent="0.3">
      <c r="A70" s="150" t="str">
        <f t="shared" ca="1" si="3"/>
        <v/>
      </c>
      <c r="B70" s="104" t="str">
        <f t="shared" ca="1" si="4"/>
        <v/>
      </c>
      <c r="G70">
        <f>IF(H70="",0,(MAX($G$1:G69)+1))</f>
        <v>0</v>
      </c>
      <c r="H70" t="str">
        <f>IF($C$1="","",IF('Drug Prices'!E17="","",CONCATENATE("Supply Purchase: ",'Drug Prices'!A17)))</f>
        <v/>
      </c>
      <c r="I70" s="315" t="str">
        <f>IF(H70="","",IF('Drug Prices'!A17="","",'Drug Prices'!C17))</f>
        <v/>
      </c>
      <c r="J70" t="str">
        <f>IF(H70="","",IF('Drug Prices'!A17="","""",'Drug Prices'!D17))</f>
        <v/>
      </c>
      <c r="K70" t="str">
        <f>IF(H70="","",IF('Drug Prices'!A17="","",'Drug Prices'!E17))</f>
        <v/>
      </c>
      <c r="L70" s="334"/>
    </row>
    <row r="71" spans="1:12" x14ac:dyDescent="0.3">
      <c r="A71" s="150" t="str">
        <f t="shared" ca="1" si="3"/>
        <v/>
      </c>
      <c r="B71" s="104" t="str">
        <f t="shared" ca="1" si="4"/>
        <v/>
      </c>
      <c r="G71">
        <f>IF(H71="",0,(MAX($G$1:G70)+1))</f>
        <v>0</v>
      </c>
      <c r="H71" t="str">
        <f>IF($C$1="","",IF('Drug Prices'!E18="","",CONCATENATE("Supply Purchase: ",'Drug Prices'!A18)))</f>
        <v/>
      </c>
      <c r="I71" s="315" t="str">
        <f>IF(H71="","",IF('Drug Prices'!A18="","",'Drug Prices'!C18))</f>
        <v/>
      </c>
      <c r="J71" t="str">
        <f>IF(H71="","",IF('Drug Prices'!A18="","""",'Drug Prices'!D18))</f>
        <v/>
      </c>
      <c r="K71" t="str">
        <f>IF(H71="","",IF('Drug Prices'!A18="","",'Drug Prices'!E18))</f>
        <v/>
      </c>
      <c r="L71" s="334"/>
    </row>
    <row r="72" spans="1:12" x14ac:dyDescent="0.3">
      <c r="A72" s="150" t="str">
        <f t="shared" ref="A72:A100" ca="1" si="5">IF(A71="","",IF($M$1&gt;=1+A71,A71+1,""))</f>
        <v/>
      </c>
      <c r="B72" s="104" t="str">
        <f t="shared" ca="1" si="4"/>
        <v/>
      </c>
      <c r="G72">
        <f>IF(H72="",0,(MAX($G$1:G71)+1))</f>
        <v>0</v>
      </c>
      <c r="H72" t="str">
        <f>IF($C$1="","",IF('Drug Prices'!E19="","",CONCATENATE("Supply Purchase: ",'Drug Prices'!A19)))</f>
        <v/>
      </c>
      <c r="I72" s="315" t="str">
        <f>IF(H72="","",IF('Drug Prices'!A19="","",'Drug Prices'!C19))</f>
        <v/>
      </c>
      <c r="J72" t="str">
        <f>IF(H72="","",IF('Drug Prices'!A19="","""",'Drug Prices'!D19))</f>
        <v/>
      </c>
      <c r="K72" t="str">
        <f>IF(H72="","",IF('Drug Prices'!A19="","",'Drug Prices'!E19))</f>
        <v/>
      </c>
      <c r="L72" s="334"/>
    </row>
    <row r="73" spans="1:12" x14ac:dyDescent="0.3">
      <c r="A73" s="150" t="str">
        <f t="shared" ca="1" si="5"/>
        <v/>
      </c>
      <c r="B73" s="104" t="str">
        <f t="shared" ca="1" si="4"/>
        <v/>
      </c>
      <c r="G73">
        <f>IF(H73="",0,(MAX($G$1:G72)+1))</f>
        <v>0</v>
      </c>
      <c r="H73" t="str">
        <f>IF($C$1="","",IF('Drug Prices'!E20="","",CONCATENATE("Supply Purchase: ",'Drug Prices'!A20)))</f>
        <v/>
      </c>
      <c r="I73" s="315" t="str">
        <f>IF(H73="","",IF('Drug Prices'!A20="","",'Drug Prices'!C20))</f>
        <v/>
      </c>
      <c r="J73" t="str">
        <f>IF(H73="","",IF('Drug Prices'!A20="","""",'Drug Prices'!D20))</f>
        <v/>
      </c>
      <c r="K73" t="str">
        <f>IF(H73="","",IF('Drug Prices'!A20="","",'Drug Prices'!E20))</f>
        <v/>
      </c>
      <c r="L73" s="334"/>
    </row>
    <row r="74" spans="1:12" x14ac:dyDescent="0.3">
      <c r="A74" s="150" t="str">
        <f t="shared" ca="1" si="5"/>
        <v/>
      </c>
      <c r="B74" s="104" t="str">
        <f t="shared" ca="1" si="4"/>
        <v/>
      </c>
    </row>
    <row r="75" spans="1:12" x14ac:dyDescent="0.3">
      <c r="A75" s="150" t="str">
        <f t="shared" ca="1" si="5"/>
        <v/>
      </c>
      <c r="B75" s="104" t="str">
        <f t="shared" ref="B75:B100" ca="1" si="6">IF(A75="","",VLOOKUP(A75,$G$1:$K$73,2,FALSE))</f>
        <v/>
      </c>
    </row>
    <row r="76" spans="1:12" x14ac:dyDescent="0.3">
      <c r="A76" s="150" t="str">
        <f t="shared" ca="1" si="5"/>
        <v/>
      </c>
      <c r="B76" s="104" t="str">
        <f t="shared" ca="1" si="6"/>
        <v/>
      </c>
    </row>
    <row r="77" spans="1:12" x14ac:dyDescent="0.3">
      <c r="A77" s="150" t="str">
        <f t="shared" ca="1" si="5"/>
        <v/>
      </c>
      <c r="B77" s="104" t="str">
        <f t="shared" ca="1" si="6"/>
        <v/>
      </c>
    </row>
    <row r="78" spans="1:12" x14ac:dyDescent="0.3">
      <c r="A78" s="150" t="str">
        <f t="shared" ca="1" si="5"/>
        <v/>
      </c>
      <c r="B78" s="104" t="str">
        <f t="shared" ca="1" si="6"/>
        <v/>
      </c>
    </row>
    <row r="79" spans="1:12" x14ac:dyDescent="0.3">
      <c r="A79" s="150" t="str">
        <f t="shared" ca="1" si="5"/>
        <v/>
      </c>
      <c r="B79" s="104" t="str">
        <f t="shared" ca="1" si="6"/>
        <v/>
      </c>
    </row>
    <row r="80" spans="1:12" x14ac:dyDescent="0.3">
      <c r="A80" s="150" t="str">
        <f t="shared" ca="1" si="5"/>
        <v/>
      </c>
      <c r="B80" s="104" t="str">
        <f t="shared" ca="1" si="6"/>
        <v/>
      </c>
    </row>
    <row r="81" spans="1:2" x14ac:dyDescent="0.3">
      <c r="A81" s="150" t="str">
        <f t="shared" ca="1" si="5"/>
        <v/>
      </c>
      <c r="B81" s="104" t="str">
        <f t="shared" ca="1" si="6"/>
        <v/>
      </c>
    </row>
    <row r="82" spans="1:2" x14ac:dyDescent="0.3">
      <c r="A82" s="150" t="str">
        <f t="shared" ca="1" si="5"/>
        <v/>
      </c>
      <c r="B82" s="104" t="str">
        <f t="shared" ca="1" si="6"/>
        <v/>
      </c>
    </row>
    <row r="83" spans="1:2" x14ac:dyDescent="0.3">
      <c r="A83" s="150" t="str">
        <f t="shared" ca="1" si="5"/>
        <v/>
      </c>
      <c r="B83" s="104" t="str">
        <f t="shared" ca="1" si="6"/>
        <v/>
      </c>
    </row>
    <row r="84" spans="1:2" x14ac:dyDescent="0.3">
      <c r="A84" s="150" t="str">
        <f t="shared" ca="1" si="5"/>
        <v/>
      </c>
      <c r="B84" s="104" t="str">
        <f t="shared" ca="1" si="6"/>
        <v/>
      </c>
    </row>
    <row r="85" spans="1:2" x14ac:dyDescent="0.3">
      <c r="A85" s="150" t="str">
        <f t="shared" ca="1" si="5"/>
        <v/>
      </c>
      <c r="B85" s="104" t="str">
        <f t="shared" ca="1" si="6"/>
        <v/>
      </c>
    </row>
    <row r="86" spans="1:2" x14ac:dyDescent="0.3">
      <c r="A86" s="150" t="str">
        <f t="shared" ca="1" si="5"/>
        <v/>
      </c>
      <c r="B86" s="104" t="str">
        <f t="shared" ca="1" si="6"/>
        <v/>
      </c>
    </row>
    <row r="87" spans="1:2" x14ac:dyDescent="0.3">
      <c r="A87" s="150" t="str">
        <f t="shared" ca="1" si="5"/>
        <v/>
      </c>
      <c r="B87" s="104" t="str">
        <f t="shared" ca="1" si="6"/>
        <v/>
      </c>
    </row>
    <row r="88" spans="1:2" x14ac:dyDescent="0.3">
      <c r="A88" s="150" t="str">
        <f t="shared" ca="1" si="5"/>
        <v/>
      </c>
      <c r="B88" s="104" t="str">
        <f t="shared" ca="1" si="6"/>
        <v/>
      </c>
    </row>
    <row r="89" spans="1:2" x14ac:dyDescent="0.3">
      <c r="A89" s="150" t="str">
        <f t="shared" ca="1" si="5"/>
        <v/>
      </c>
      <c r="B89" s="104" t="str">
        <f t="shared" ca="1" si="6"/>
        <v/>
      </c>
    </row>
    <row r="90" spans="1:2" x14ac:dyDescent="0.3">
      <c r="A90" s="150" t="str">
        <f t="shared" ca="1" si="5"/>
        <v/>
      </c>
      <c r="B90" s="104" t="str">
        <f t="shared" ca="1" si="6"/>
        <v/>
      </c>
    </row>
    <row r="91" spans="1:2" x14ac:dyDescent="0.3">
      <c r="A91" s="150" t="str">
        <f t="shared" ca="1" si="5"/>
        <v/>
      </c>
      <c r="B91" s="104" t="str">
        <f t="shared" ca="1" si="6"/>
        <v/>
      </c>
    </row>
    <row r="92" spans="1:2" x14ac:dyDescent="0.3">
      <c r="A92" s="150" t="str">
        <f t="shared" ca="1" si="5"/>
        <v/>
      </c>
      <c r="B92" s="104" t="str">
        <f t="shared" ca="1" si="6"/>
        <v/>
      </c>
    </row>
    <row r="93" spans="1:2" x14ac:dyDescent="0.3">
      <c r="A93" s="150" t="str">
        <f t="shared" ca="1" si="5"/>
        <v/>
      </c>
      <c r="B93" s="104" t="str">
        <f t="shared" ca="1" si="6"/>
        <v/>
      </c>
    </row>
    <row r="94" spans="1:2" x14ac:dyDescent="0.3">
      <c r="A94" s="150" t="str">
        <f t="shared" ca="1" si="5"/>
        <v/>
      </c>
      <c r="B94" s="104" t="str">
        <f t="shared" ca="1" si="6"/>
        <v/>
      </c>
    </row>
    <row r="95" spans="1:2" x14ac:dyDescent="0.3">
      <c r="A95" s="150" t="str">
        <f t="shared" ca="1" si="5"/>
        <v/>
      </c>
      <c r="B95" s="104" t="str">
        <f t="shared" ca="1" si="6"/>
        <v/>
      </c>
    </row>
    <row r="96" spans="1:2" x14ac:dyDescent="0.3">
      <c r="A96" s="150" t="str">
        <f t="shared" ca="1" si="5"/>
        <v/>
      </c>
      <c r="B96" s="104" t="str">
        <f t="shared" ca="1" si="6"/>
        <v/>
      </c>
    </row>
    <row r="97" spans="1:2" x14ac:dyDescent="0.3">
      <c r="A97" s="150" t="str">
        <f t="shared" ca="1" si="5"/>
        <v/>
      </c>
      <c r="B97" s="104" t="str">
        <f t="shared" ca="1" si="6"/>
        <v/>
      </c>
    </row>
    <row r="98" spans="1:2" x14ac:dyDescent="0.3">
      <c r="A98" s="150" t="str">
        <f t="shared" ca="1" si="5"/>
        <v/>
      </c>
      <c r="B98" s="104" t="str">
        <f t="shared" ca="1" si="6"/>
        <v/>
      </c>
    </row>
    <row r="99" spans="1:2" x14ac:dyDescent="0.3">
      <c r="A99" s="150" t="str">
        <f t="shared" ca="1" si="5"/>
        <v/>
      </c>
      <c r="B99" s="104" t="str">
        <f t="shared" ca="1" si="6"/>
        <v/>
      </c>
    </row>
    <row r="100" spans="1:2" x14ac:dyDescent="0.3">
      <c r="A100" s="150" t="str">
        <f t="shared" ca="1" si="5"/>
        <v/>
      </c>
      <c r="B100" s="104" t="str">
        <f t="shared" ca="1" si="6"/>
        <v/>
      </c>
    </row>
  </sheetData>
  <sheetProtection algorithmName="SHA-512" hashValue="RJB7A9oKX5FiDwMmXlNEI1Xu1ywrzAZL8th9XzGnFsiGZehJY2QgCNwoBIdlLGXJvOQ7l4qOHsvM4eIx6Zutyw==" saltValue="Qew1lBjQpxAfKUOsnr1vNQ==" spinCount="100000" sheet="1" selectLockedCells="1" sort="0"/>
  <sortState xmlns:xlrd2="http://schemas.microsoft.com/office/spreadsheetml/2017/richdata2" ref="H1:K61">
    <sortCondition descending="1" ref="H1"/>
  </sortState>
  <mergeCells count="4">
    <mergeCell ref="C1:D1"/>
    <mergeCell ref="C3:D3"/>
    <mergeCell ref="S1:Z2"/>
    <mergeCell ref="C2:D2"/>
  </mergeCells>
  <dataValidations count="1">
    <dataValidation type="list" allowBlank="1" showInputMessage="1" showErrorMessage="1" sqref="C1" xr:uid="{00000000-0002-0000-0800-000000000000}">
      <formula1>$R$1:$R$3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249977111117893"/>
    <pageSetUpPr fitToPage="1"/>
  </sheetPr>
  <dimension ref="A1:V60"/>
  <sheetViews>
    <sheetView zoomScaleNormal="100" workbookViewId="0">
      <selection activeCell="B8" sqref="B8:K8"/>
    </sheetView>
  </sheetViews>
  <sheetFormatPr defaultColWidth="8.77734375" defaultRowHeight="14.4" x14ac:dyDescent="0.3"/>
  <cols>
    <col min="1" max="1" width="21.109375" customWidth="1"/>
    <col min="3" max="3" width="6.33203125" customWidth="1"/>
    <col min="4" max="4" width="7.109375" customWidth="1"/>
    <col min="5" max="5" width="11" customWidth="1"/>
    <col min="6" max="6" width="8.77734375" customWidth="1"/>
    <col min="7" max="7" width="5.44140625" customWidth="1"/>
    <col min="9" max="9" width="12.109375" customWidth="1"/>
    <col min="10" max="10" width="3.109375" customWidth="1"/>
    <col min="11" max="11" width="12" customWidth="1"/>
    <col min="12" max="14" width="8.77734375" hidden="1" customWidth="1"/>
    <col min="15" max="16" width="8.77734375" style="9" hidden="1" customWidth="1"/>
    <col min="17" max="17" width="12" style="9" hidden="1" customWidth="1"/>
    <col min="18" max="18" width="8.77734375" hidden="1" customWidth="1"/>
    <col min="22" max="22" width="0" hidden="1" customWidth="1"/>
  </cols>
  <sheetData>
    <row r="1" spans="1:18" ht="25.8" customHeight="1" x14ac:dyDescent="0.3">
      <c r="A1" s="445" t="s">
        <v>293</v>
      </c>
      <c r="B1" s="446"/>
      <c r="C1" s="446"/>
      <c r="D1" s="446"/>
      <c r="E1" s="446"/>
      <c r="F1" s="446"/>
      <c r="G1" s="446"/>
      <c r="H1" s="446"/>
      <c r="I1" s="446"/>
      <c r="J1" s="446"/>
      <c r="K1" s="447"/>
    </row>
    <row r="2" spans="1:18" ht="15" x14ac:dyDescent="0.3">
      <c r="A2" s="448" t="s">
        <v>290</v>
      </c>
      <c r="B2" s="449"/>
      <c r="C2" s="449"/>
      <c r="D2" s="449"/>
      <c r="E2" s="449"/>
      <c r="F2" s="449"/>
      <c r="G2" s="449"/>
      <c r="H2" s="449"/>
      <c r="I2" s="449"/>
      <c r="J2" s="449"/>
      <c r="K2" s="450"/>
    </row>
    <row r="3" spans="1:18" ht="15" x14ac:dyDescent="0.3">
      <c r="A3" s="448" t="s">
        <v>291</v>
      </c>
      <c r="B3" s="449"/>
      <c r="C3" s="449"/>
      <c r="D3" s="449"/>
      <c r="E3" s="449"/>
      <c r="F3" s="449"/>
      <c r="G3" s="449"/>
      <c r="H3" s="449"/>
      <c r="I3" s="449"/>
      <c r="J3" s="449"/>
      <c r="K3" s="450"/>
    </row>
    <row r="4" spans="1:18" x14ac:dyDescent="0.3">
      <c r="A4" s="448" t="s">
        <v>292</v>
      </c>
      <c r="B4" s="449"/>
      <c r="C4" s="449"/>
      <c r="D4" s="449"/>
      <c r="E4" s="449"/>
      <c r="F4" s="449"/>
      <c r="G4" s="449"/>
      <c r="H4" s="449"/>
      <c r="I4" s="449"/>
      <c r="J4" s="449"/>
      <c r="K4" s="451"/>
    </row>
    <row r="5" spans="1:18" ht="5.4" customHeight="1" x14ac:dyDescent="0.3">
      <c r="A5" s="452"/>
      <c r="B5" s="446"/>
      <c r="C5" s="446"/>
      <c r="D5" s="446"/>
      <c r="E5" s="446"/>
      <c r="F5" s="446"/>
      <c r="G5" s="446"/>
      <c r="H5" s="446"/>
      <c r="I5" s="446"/>
      <c r="J5" s="446"/>
      <c r="K5" s="447"/>
    </row>
    <row r="6" spans="1:18" ht="16.8" customHeight="1" x14ac:dyDescent="0.3">
      <c r="A6" s="4" t="s">
        <v>19</v>
      </c>
      <c r="B6" s="5"/>
      <c r="C6" s="5"/>
      <c r="D6" s="4" t="s">
        <v>9</v>
      </c>
      <c r="E6" s="5"/>
      <c r="F6" s="5"/>
      <c r="G6" s="5"/>
      <c r="H6" s="4" t="s">
        <v>10</v>
      </c>
      <c r="I6" s="5"/>
      <c r="J6" s="5"/>
      <c r="K6" s="5"/>
    </row>
    <row r="7" spans="1:18" ht="22.2" customHeight="1" x14ac:dyDescent="0.3">
      <c r="A7" s="417" t="s">
        <v>11</v>
      </c>
      <c r="B7" s="418"/>
      <c r="C7" s="418"/>
      <c r="D7" s="418"/>
      <c r="E7" s="418"/>
      <c r="F7" s="418"/>
      <c r="G7" s="418"/>
      <c r="H7" s="418"/>
      <c r="I7" s="418"/>
      <c r="J7" s="418"/>
      <c r="K7" s="419"/>
    </row>
    <row r="8" spans="1:18" ht="24" customHeight="1" x14ac:dyDescent="0.3">
      <c r="A8" s="3" t="s">
        <v>12</v>
      </c>
      <c r="B8" s="427"/>
      <c r="C8" s="428"/>
      <c r="D8" s="428"/>
      <c r="E8" s="428"/>
      <c r="F8" s="428"/>
      <c r="G8" s="428"/>
      <c r="H8" s="428"/>
      <c r="I8" s="428"/>
      <c r="J8" s="428"/>
      <c r="K8" s="428"/>
    </row>
    <row r="9" spans="1:18" ht="24" customHeight="1" x14ac:dyDescent="0.3">
      <c r="A9" s="3" t="s">
        <v>13</v>
      </c>
      <c r="B9" s="430"/>
      <c r="C9" s="430"/>
      <c r="D9" s="430"/>
      <c r="E9" s="430"/>
      <c r="F9" s="433" t="s">
        <v>17</v>
      </c>
      <c r="G9" s="434"/>
      <c r="H9" s="429"/>
      <c r="I9" s="429"/>
      <c r="J9" s="429"/>
      <c r="K9" s="429"/>
    </row>
    <row r="10" spans="1:18" ht="24" customHeight="1" x14ac:dyDescent="0.3">
      <c r="A10" s="3" t="s">
        <v>14</v>
      </c>
      <c r="B10" s="3"/>
      <c r="C10" s="387"/>
      <c r="D10" s="387"/>
      <c r="E10" s="387"/>
      <c r="F10" s="387"/>
      <c r="G10" s="387"/>
      <c r="H10" s="387"/>
      <c r="I10" s="387"/>
      <c r="J10" s="387"/>
      <c r="K10" s="387"/>
    </row>
    <row r="11" spans="1:18" ht="24" customHeight="1" x14ac:dyDescent="0.3">
      <c r="A11" s="431" t="s">
        <v>15</v>
      </c>
      <c r="B11" s="432"/>
      <c r="C11" s="432"/>
      <c r="D11" s="432"/>
      <c r="E11" s="432"/>
      <c r="F11" s="432"/>
      <c r="G11" s="432"/>
      <c r="H11" s="432"/>
      <c r="I11" s="432"/>
      <c r="J11" s="432"/>
      <c r="K11" s="432"/>
    </row>
    <row r="12" spans="1:18" x14ac:dyDescent="0.3">
      <c r="A12" s="432"/>
      <c r="B12" s="432"/>
      <c r="C12" s="432"/>
      <c r="D12" s="432"/>
      <c r="E12" s="432"/>
      <c r="F12" s="432"/>
      <c r="G12" s="432"/>
      <c r="H12" s="432"/>
      <c r="I12" s="432"/>
      <c r="J12" s="432"/>
      <c r="K12" s="432"/>
    </row>
    <row r="13" spans="1:18" x14ac:dyDescent="0.3">
      <c r="A13" s="3"/>
      <c r="B13" s="3"/>
      <c r="C13" s="3"/>
      <c r="D13" s="3"/>
      <c r="E13" s="3"/>
      <c r="F13" s="3"/>
      <c r="G13" s="3"/>
      <c r="H13" s="3"/>
      <c r="I13" s="3"/>
      <c r="J13" s="3"/>
      <c r="K13" s="3"/>
    </row>
    <row r="14" spans="1:18" ht="15.6" x14ac:dyDescent="0.3">
      <c r="A14" s="6" t="s">
        <v>16</v>
      </c>
      <c r="B14" s="3"/>
      <c r="C14" s="3"/>
      <c r="D14" s="3"/>
      <c r="E14" s="3"/>
      <c r="F14" s="3"/>
      <c r="G14" s="3"/>
      <c r="H14" s="3"/>
      <c r="I14" s="3"/>
      <c r="J14" s="3"/>
      <c r="K14" s="3"/>
    </row>
    <row r="15" spans="1:18" ht="9.4499999999999993" customHeight="1" x14ac:dyDescent="0.3">
      <c r="A15" s="3"/>
      <c r="B15" s="3"/>
      <c r="C15" s="3"/>
      <c r="D15" s="3"/>
      <c r="E15" s="3"/>
      <c r="F15" s="3"/>
      <c r="G15" s="3"/>
      <c r="H15" s="3"/>
      <c r="I15" s="3"/>
      <c r="J15" s="3"/>
      <c r="K15" s="3"/>
    </row>
    <row r="16" spans="1:18" ht="19.8" customHeight="1" x14ac:dyDescent="0.3">
      <c r="A16" s="442" t="s">
        <v>0</v>
      </c>
      <c r="B16" s="443"/>
      <c r="C16" s="444"/>
      <c r="D16" s="183"/>
      <c r="E16" s="435" t="s">
        <v>1</v>
      </c>
      <c r="F16" s="436"/>
      <c r="G16" s="436"/>
      <c r="H16" s="437"/>
      <c r="I16" s="128"/>
      <c r="J16" s="328" t="s">
        <v>18</v>
      </c>
      <c r="K16" s="128"/>
      <c r="O16" s="9">
        <f>K16-I16</f>
        <v>0</v>
      </c>
      <c r="P16" s="9">
        <f>ROUND(O16/365,2)</f>
        <v>0</v>
      </c>
      <c r="Q16" s="9">
        <f>ROUNDUP(P16,0)</f>
        <v>0</v>
      </c>
      <c r="R16" t="s">
        <v>65</v>
      </c>
    </row>
    <row r="17" spans="1:22" ht="19.8" customHeight="1" x14ac:dyDescent="0.3">
      <c r="A17" s="438" t="s">
        <v>2</v>
      </c>
      <c r="B17" s="399"/>
      <c r="C17" s="400"/>
      <c r="D17" s="148" t="s">
        <v>20</v>
      </c>
      <c r="E17" s="129"/>
      <c r="F17" s="130"/>
      <c r="G17" s="130"/>
      <c r="H17" s="420"/>
      <c r="I17" s="420"/>
      <c r="J17" s="420"/>
      <c r="K17" s="421"/>
      <c r="R17" t="s">
        <v>66</v>
      </c>
    </row>
    <row r="18" spans="1:22" ht="19.8" customHeight="1" x14ac:dyDescent="0.3">
      <c r="A18" s="439"/>
      <c r="B18" s="440"/>
      <c r="C18" s="441"/>
      <c r="D18" s="148" t="s">
        <v>21</v>
      </c>
      <c r="E18" s="129"/>
      <c r="F18" s="422"/>
      <c r="G18" s="422"/>
      <c r="H18" s="422"/>
      <c r="I18" s="422"/>
      <c r="J18" s="422"/>
      <c r="K18" s="423"/>
    </row>
    <row r="19" spans="1:22" ht="19.8" customHeight="1" x14ac:dyDescent="0.3">
      <c r="A19" s="439"/>
      <c r="B19" s="440"/>
      <c r="C19" s="441"/>
      <c r="D19" s="148" t="s">
        <v>22</v>
      </c>
      <c r="E19" s="129"/>
      <c r="F19" s="129"/>
      <c r="G19" s="129"/>
      <c r="H19" s="129"/>
      <c r="I19" s="131"/>
      <c r="J19" s="129"/>
      <c r="K19" s="132"/>
      <c r="V19" t="s">
        <v>65</v>
      </c>
    </row>
    <row r="20" spans="1:22" ht="21" customHeight="1" x14ac:dyDescent="0.3">
      <c r="A20" s="401"/>
      <c r="B20" s="402"/>
      <c r="C20" s="403"/>
      <c r="D20" s="149" t="s">
        <v>3</v>
      </c>
      <c r="E20" s="387"/>
      <c r="F20" s="387"/>
      <c r="G20" s="387"/>
      <c r="H20" s="387"/>
      <c r="I20" s="387"/>
      <c r="J20" s="387"/>
      <c r="K20" s="388"/>
      <c r="V20" t="s">
        <v>66</v>
      </c>
    </row>
    <row r="21" spans="1:22" x14ac:dyDescent="0.3">
      <c r="A21" s="346" t="s">
        <v>4</v>
      </c>
      <c r="B21" s="347"/>
      <c r="C21" s="348"/>
      <c r="D21" s="424"/>
      <c r="E21" s="425"/>
      <c r="F21" s="425"/>
      <c r="G21" s="425"/>
      <c r="H21" s="425"/>
      <c r="I21" s="425"/>
      <c r="J21" s="425"/>
      <c r="K21" s="426"/>
    </row>
    <row r="22" spans="1:22" x14ac:dyDescent="0.3">
      <c r="A22" s="346" t="s">
        <v>5</v>
      </c>
      <c r="B22" s="347"/>
      <c r="C22" s="348"/>
      <c r="D22" s="365"/>
      <c r="E22" s="366"/>
      <c r="F22" s="366"/>
      <c r="G22" s="366"/>
      <c r="H22" s="366"/>
      <c r="I22" s="366"/>
      <c r="J22" s="366"/>
      <c r="K22" s="367"/>
    </row>
    <row r="23" spans="1:22" x14ac:dyDescent="0.3">
      <c r="A23" s="346" t="s">
        <v>6</v>
      </c>
      <c r="B23" s="347"/>
      <c r="C23" s="348"/>
      <c r="D23" s="365"/>
      <c r="E23" s="366"/>
      <c r="F23" s="366"/>
      <c r="G23" s="366"/>
      <c r="H23" s="366"/>
      <c r="I23" s="366"/>
      <c r="J23" s="366"/>
      <c r="K23" s="367"/>
    </row>
    <row r="24" spans="1:22" x14ac:dyDescent="0.3">
      <c r="A24" s="398" t="s">
        <v>161</v>
      </c>
      <c r="B24" s="399"/>
      <c r="C24" s="400"/>
      <c r="D24" s="327" t="s">
        <v>162</v>
      </c>
      <c r="E24" s="327" t="s">
        <v>163</v>
      </c>
      <c r="F24" s="327" t="s">
        <v>164</v>
      </c>
      <c r="G24" s="404" t="s">
        <v>165</v>
      </c>
      <c r="H24" s="405"/>
      <c r="I24" s="327" t="s">
        <v>166</v>
      </c>
      <c r="J24" s="404" t="s">
        <v>167</v>
      </c>
      <c r="K24" s="405"/>
    </row>
    <row r="25" spans="1:22" x14ac:dyDescent="0.3">
      <c r="A25" s="401"/>
      <c r="B25" s="402"/>
      <c r="C25" s="403"/>
      <c r="D25" s="193"/>
      <c r="E25" s="193"/>
      <c r="F25" s="193"/>
      <c r="G25" s="406"/>
      <c r="H25" s="407"/>
      <c r="I25" s="193"/>
      <c r="J25" s="406"/>
      <c r="K25" s="407"/>
    </row>
    <row r="26" spans="1:22" ht="23.55" hidden="1" customHeight="1" x14ac:dyDescent="0.3">
      <c r="A26" s="370" t="s">
        <v>232</v>
      </c>
      <c r="B26" s="371"/>
      <c r="C26" s="372"/>
      <c r="D26" s="408" t="s">
        <v>203</v>
      </c>
      <c r="E26" s="409"/>
      <c r="F26" s="410"/>
      <c r="G26" s="373" t="s">
        <v>300</v>
      </c>
      <c r="H26" s="374"/>
      <c r="I26" s="375" t="s">
        <v>7</v>
      </c>
      <c r="J26" s="376"/>
      <c r="K26" s="377"/>
    </row>
    <row r="27" spans="1:22" hidden="1" x14ac:dyDescent="0.3">
      <c r="A27" s="352" t="s">
        <v>297</v>
      </c>
      <c r="B27" s="353"/>
      <c r="C27" s="354"/>
      <c r="D27" s="349" t="str">
        <f>IF(MAX(Medications!$Q$7:$Q$15)&gt;0,VLOOKUP(1,Medications!$Q$7:$R$15,2,FALSE),"")</f>
        <v/>
      </c>
      <c r="E27" s="350"/>
      <c r="F27" s="351"/>
      <c r="G27" s="344" t="str">
        <f>IF(MAX(Medications!$Q$7:$Q$15)&gt;0,VLOOKUP(1,Medications!$Q$7:$S$15,3,FALSE),"")</f>
        <v/>
      </c>
      <c r="H27" s="345"/>
      <c r="I27" s="368" t="str">
        <f>IF(MAX(Medications!$Q$7:$Q$15)&gt;0,VLOOKUP(1,Medications!$Q$7:$T$15,4,FALSE),"")</f>
        <v/>
      </c>
      <c r="J27" s="368"/>
      <c r="K27" s="369"/>
      <c r="O27" s="9">
        <f>IF(D27="",0,1)</f>
        <v>0</v>
      </c>
      <c r="P27" s="9" t="str">
        <f>IF(O27&gt;0,G27,"")</f>
        <v/>
      </c>
      <c r="Q27" s="9" t="str">
        <f>IF(O27&gt;0,D27,"")</f>
        <v/>
      </c>
    </row>
    <row r="28" spans="1:22" hidden="1" x14ac:dyDescent="0.3">
      <c r="A28" s="355"/>
      <c r="B28" s="353"/>
      <c r="C28" s="354"/>
      <c r="D28" s="349" t="str">
        <f>IF(MAX(Medications!$Q$7:$Q$15)&gt;1,VLOOKUP(2,Medications!$Q$7:$R$15,2,FALSE),"")</f>
        <v/>
      </c>
      <c r="E28" s="350"/>
      <c r="F28" s="351"/>
      <c r="G28" s="344" t="str">
        <f>IF(MAX(Medications!$Q$7:$Q$15)&gt;1,VLOOKUP(2,Medications!$Q$7:$S$15,3,FALSE),"")</f>
        <v/>
      </c>
      <c r="H28" s="345"/>
      <c r="I28" s="368" t="str">
        <f>IF(MAX(Medications!$Q$7:$Q$15)&gt;1,VLOOKUP(2,Medications!$Q$7:$T$15,4,FALSE),"")</f>
        <v/>
      </c>
      <c r="J28" s="368"/>
      <c r="K28" s="369"/>
      <c r="L28" s="153"/>
      <c r="O28" s="9">
        <f>IF(D28="",0,1+O27)</f>
        <v>0</v>
      </c>
      <c r="P28" s="218" t="str">
        <f t="shared" ref="P28:P35" si="0">IF(O28&gt;0,G28,"")</f>
        <v/>
      </c>
      <c r="Q28" s="152" t="str">
        <f t="shared" ref="Q28:Q35" si="1">IF(O28&gt;0,D28,"")</f>
        <v/>
      </c>
    </row>
    <row r="29" spans="1:22" hidden="1" x14ac:dyDescent="0.3">
      <c r="A29" s="355"/>
      <c r="B29" s="353"/>
      <c r="C29" s="354"/>
      <c r="D29" s="349" t="str">
        <f>IF(MAX(Medications!$Q$7:$Q$15)&gt;2,VLOOKUP(3,Medications!$Q$7:$R$15,2,FALSE),"")</f>
        <v/>
      </c>
      <c r="E29" s="350"/>
      <c r="F29" s="351"/>
      <c r="G29" s="344" t="str">
        <f>IF(MAX(Medications!$Q$7:$Q$15)&gt;2,VLOOKUP(3,Medications!$Q$7:$S$15,3,FALSE),"")</f>
        <v/>
      </c>
      <c r="H29" s="345"/>
      <c r="I29" s="368" t="str">
        <f>IF(MAX(Medications!$Q$7:$Q$15)&gt;2,VLOOKUP(3,Medications!$Q$7:$T$15,4,FALSE),"")</f>
        <v/>
      </c>
      <c r="J29" s="368"/>
      <c r="K29" s="369"/>
      <c r="O29" s="152">
        <f>IF(D29="",0,1+(MAX(O27:O28)))</f>
        <v>0</v>
      </c>
      <c r="P29" s="218" t="str">
        <f t="shared" si="0"/>
        <v/>
      </c>
      <c r="Q29" s="152" t="str">
        <f t="shared" si="1"/>
        <v/>
      </c>
    </row>
    <row r="30" spans="1:22" hidden="1" x14ac:dyDescent="0.3">
      <c r="A30" s="356"/>
      <c r="B30" s="357"/>
      <c r="C30" s="358"/>
      <c r="D30" s="349" t="str">
        <f>IF(MAX(Medications!$Q$7:$Q$15)&gt;3,VLOOKUP(4,Medications!$Q$7:$R$15,2,FALSE),"")</f>
        <v/>
      </c>
      <c r="E30" s="350"/>
      <c r="F30" s="351"/>
      <c r="G30" s="344" t="str">
        <f>IF(MAX(Medications!$Q$7:$Q$15)&gt;3,VLOOKUP(4,Medications!$Q$7:$S$15,3,FALSE),"")</f>
        <v/>
      </c>
      <c r="H30" s="345"/>
      <c r="I30" s="368" t="str">
        <f>IF(MAX(Medications!$Q$7:$Q$15)&gt;3,VLOOKUP(4,Medications!$Q$7:$T$15,4,FALSE),"")</f>
        <v/>
      </c>
      <c r="J30" s="368"/>
      <c r="K30" s="369"/>
      <c r="O30" s="152">
        <f>IF(D30="",0,1+(MAX(O27:O29)))</f>
        <v>0</v>
      </c>
      <c r="P30" s="218" t="str">
        <f t="shared" si="0"/>
        <v/>
      </c>
      <c r="Q30" s="152" t="str">
        <f t="shared" si="1"/>
        <v/>
      </c>
    </row>
    <row r="31" spans="1:22" hidden="1" x14ac:dyDescent="0.3">
      <c r="A31" s="356"/>
      <c r="B31" s="357"/>
      <c r="C31" s="358"/>
      <c r="D31" s="349" t="str">
        <f>IF(MAX(Medications!$Q$7:$Q$15)&gt;4,VLOOKUP(5,Medications!$Q$7:$R$15,2,FALSE),"")</f>
        <v/>
      </c>
      <c r="E31" s="350"/>
      <c r="F31" s="351"/>
      <c r="G31" s="344" t="str">
        <f>IF(MAX(Medications!$Q$7:$Q$15)&gt;4,VLOOKUP(5,Medications!$Q$7:$S$15,3,FALSE),"")</f>
        <v/>
      </c>
      <c r="H31" s="345"/>
      <c r="I31" s="368" t="str">
        <f>IF(MAX(Medications!$Q$7:$Q$15)&gt;4,VLOOKUP(5,Medications!$Q$7:$T$15,4,FALSE),"")</f>
        <v/>
      </c>
      <c r="J31" s="368"/>
      <c r="K31" s="369"/>
      <c r="O31" s="152">
        <f>IF(D31="",0,1+(MAX(O27:O30)))</f>
        <v>0</v>
      </c>
      <c r="P31" s="218" t="str">
        <f t="shared" si="0"/>
        <v/>
      </c>
      <c r="Q31" s="152" t="str">
        <f t="shared" si="1"/>
        <v/>
      </c>
    </row>
    <row r="32" spans="1:22" hidden="1" x14ac:dyDescent="0.3">
      <c r="A32" s="356"/>
      <c r="B32" s="357"/>
      <c r="C32" s="358"/>
      <c r="D32" s="349" t="str">
        <f>IF(MAX(Medications!$Q$7:$Q$15)&gt;5,VLOOKUP(6,Medications!$Q$7:$R$15,2,FALSE),"")</f>
        <v/>
      </c>
      <c r="E32" s="350"/>
      <c r="F32" s="351"/>
      <c r="G32" s="344" t="str">
        <f>IF(MAX(Medications!$Q$7:$Q$15)&gt;5,VLOOKUP(6,Medications!$Q$7:$S$15,3,FALSE),"")</f>
        <v/>
      </c>
      <c r="H32" s="345"/>
      <c r="I32" s="368" t="str">
        <f>IF(MAX(Medications!$Q$7:$Q$15)&gt;5,VLOOKUP(6,Medications!$Q$7:$T$15,4,FALSE),"")</f>
        <v/>
      </c>
      <c r="J32" s="368"/>
      <c r="K32" s="369"/>
      <c r="O32" s="152">
        <f>IF(D32="",0,1+(MAX(O27:O31)))</f>
        <v>0</v>
      </c>
      <c r="P32" s="218" t="str">
        <f t="shared" si="0"/>
        <v/>
      </c>
      <c r="Q32" s="152" t="str">
        <f t="shared" si="1"/>
        <v/>
      </c>
    </row>
    <row r="33" spans="1:17" hidden="1" x14ac:dyDescent="0.3">
      <c r="A33" s="356"/>
      <c r="B33" s="357"/>
      <c r="C33" s="358"/>
      <c r="D33" s="349" t="str">
        <f>IF(MAX(Medications!$Q$7:$Q$15)&gt;6,VLOOKUP(7,Medications!$Q$7:$R$15,2,FALSE),"")</f>
        <v/>
      </c>
      <c r="E33" s="350"/>
      <c r="F33" s="351"/>
      <c r="G33" s="344" t="str">
        <f>IF(MAX(Medications!$Q$7:$Q$15)&gt;6,VLOOKUP(7,Medications!$Q$7:$S$15,3,FALSE),"")</f>
        <v/>
      </c>
      <c r="H33" s="345"/>
      <c r="I33" s="368" t="str">
        <f>IF(MAX(Medications!$Q$7:$Q$15)&gt;6,VLOOKUP(7,Medications!$Q$7:$T$15,4,FALSE),"")</f>
        <v/>
      </c>
      <c r="J33" s="368"/>
      <c r="K33" s="369"/>
      <c r="O33" s="152">
        <f>IF(D33="",0,1+(MAX(O27:O32)))</f>
        <v>0</v>
      </c>
      <c r="P33" s="218" t="str">
        <f t="shared" si="0"/>
        <v/>
      </c>
      <c r="Q33" s="152" t="str">
        <f t="shared" si="1"/>
        <v/>
      </c>
    </row>
    <row r="34" spans="1:17" hidden="1" x14ac:dyDescent="0.3">
      <c r="A34" s="356"/>
      <c r="B34" s="357"/>
      <c r="C34" s="358"/>
      <c r="D34" s="349" t="str">
        <f>IF(MAX(Medications!$Q$7:$Q$15)&gt;7,VLOOKUP(8,Medications!$Q$7:$R$15,2,FALSE),"")</f>
        <v/>
      </c>
      <c r="E34" s="350"/>
      <c r="F34" s="351"/>
      <c r="G34" s="344" t="str">
        <f>IF(MAX(Medications!$Q$7:$Q$15)&gt;7,VLOOKUP(8,Medications!$Q$7:$S$15,3,FALSE),"")</f>
        <v/>
      </c>
      <c r="H34" s="345"/>
      <c r="I34" s="368" t="str">
        <f>IF(MAX(Medications!$Q$7:$Q$15)&gt;7,VLOOKUP(8,Medications!$Q$7:$T$15,4,FALSE),"")</f>
        <v/>
      </c>
      <c r="J34" s="368"/>
      <c r="K34" s="369"/>
      <c r="O34" s="152">
        <f>IF(D34="",0,1+(MAX(O27:O33)))</f>
        <v>0</v>
      </c>
      <c r="P34" s="218" t="str">
        <f t="shared" si="0"/>
        <v/>
      </c>
      <c r="Q34" s="152" t="str">
        <f t="shared" si="1"/>
        <v/>
      </c>
    </row>
    <row r="35" spans="1:17" hidden="1" x14ac:dyDescent="0.3">
      <c r="A35" s="359"/>
      <c r="B35" s="360"/>
      <c r="C35" s="361"/>
      <c r="D35" s="349" t="str">
        <f>IF(MAX(Medications!$Q$7:$Q$15)&gt;8,VLOOKUP(9,Medications!$Q$7:$R$15,2,FALSE),"")</f>
        <v/>
      </c>
      <c r="E35" s="350"/>
      <c r="F35" s="351"/>
      <c r="G35" s="344" t="str">
        <f>IF(MAX(Medications!$Q$7:$Q$15)&gt;8,VLOOKUP(9,Medications!$Q$7:$S$15,3,FALSE),"")</f>
        <v/>
      </c>
      <c r="H35" s="345"/>
      <c r="I35" s="368" t="str">
        <f>IF(MAX(Medications!$Q$7:$Q$15)&gt;8,VLOOKUP(9,Medications!$Q$7:$T$15,4,FALSE),"")</f>
        <v/>
      </c>
      <c r="J35" s="368"/>
      <c r="K35" s="369"/>
      <c r="O35" s="152">
        <f>IF(D35="",0,1+(MAX(O27:O34)))</f>
        <v>0</v>
      </c>
      <c r="P35" s="218" t="str">
        <f t="shared" si="0"/>
        <v/>
      </c>
      <c r="Q35" s="152" t="str">
        <f t="shared" si="1"/>
        <v/>
      </c>
    </row>
    <row r="36" spans="1:17" ht="43.2" customHeight="1" x14ac:dyDescent="0.3">
      <c r="A36" s="414" t="s">
        <v>268</v>
      </c>
      <c r="B36" s="415"/>
      <c r="C36" s="416"/>
      <c r="D36" s="154"/>
      <c r="E36" s="411" t="str">
        <f>IF(D36="Yes","Please describe in as much detail as possible on the Manufacturing tab under the Compunding section.","")</f>
        <v/>
      </c>
      <c r="F36" s="412"/>
      <c r="G36" s="412"/>
      <c r="H36" s="412"/>
      <c r="I36" s="412"/>
      <c r="J36" s="412"/>
      <c r="K36" s="413"/>
      <c r="L36" s="153"/>
    </row>
    <row r="37" spans="1:17" ht="43.2" customHeight="1" x14ac:dyDescent="0.3">
      <c r="A37" s="346" t="s">
        <v>210</v>
      </c>
      <c r="B37" s="347"/>
      <c r="C37" s="348"/>
      <c r="D37" s="362"/>
      <c r="E37" s="363"/>
      <c r="F37" s="363"/>
      <c r="G37" s="363"/>
      <c r="H37" s="363"/>
      <c r="I37" s="363"/>
      <c r="J37" s="363"/>
      <c r="K37" s="364"/>
    </row>
    <row r="38" spans="1:17" x14ac:dyDescent="0.3">
      <c r="A38" s="378" t="s">
        <v>8</v>
      </c>
      <c r="B38" s="379"/>
      <c r="C38" s="380"/>
      <c r="D38" s="133" t="s">
        <v>134</v>
      </c>
      <c r="E38" s="10"/>
      <c r="F38" s="134"/>
      <c r="G38" s="134"/>
      <c r="H38" s="134"/>
      <c r="I38" s="134"/>
      <c r="J38" s="134"/>
      <c r="K38" s="135"/>
    </row>
    <row r="39" spans="1:17" x14ac:dyDescent="0.3">
      <c r="A39" s="381"/>
      <c r="B39" s="382"/>
      <c r="C39" s="383"/>
      <c r="D39" s="136" t="s">
        <v>129</v>
      </c>
      <c r="E39" s="137"/>
      <c r="F39" s="138"/>
      <c r="G39" s="138"/>
      <c r="H39" s="138"/>
      <c r="I39" s="138"/>
      <c r="J39" s="138"/>
      <c r="K39" s="139"/>
    </row>
    <row r="40" spans="1:17" x14ac:dyDescent="0.3">
      <c r="A40" s="381"/>
      <c r="B40" s="382"/>
      <c r="C40" s="383"/>
      <c r="D40" s="136" t="s">
        <v>133</v>
      </c>
      <c r="E40" s="137"/>
      <c r="F40" s="138"/>
      <c r="G40" s="138"/>
      <c r="H40" s="138"/>
      <c r="I40" s="138"/>
      <c r="J40" s="138"/>
      <c r="K40" s="139"/>
    </row>
    <row r="41" spans="1:17" x14ac:dyDescent="0.3">
      <c r="A41" s="381"/>
      <c r="B41" s="382"/>
      <c r="C41" s="383"/>
      <c r="D41" s="136" t="s">
        <v>135</v>
      </c>
      <c r="E41" s="137"/>
      <c r="F41" s="138"/>
      <c r="G41" s="138"/>
      <c r="H41" s="138"/>
      <c r="I41" s="138"/>
      <c r="J41" s="138"/>
      <c r="K41" s="139"/>
    </row>
    <row r="42" spans="1:17" x14ac:dyDescent="0.3">
      <c r="A42" s="381"/>
      <c r="B42" s="382"/>
      <c r="C42" s="383"/>
      <c r="D42" s="136" t="s">
        <v>136</v>
      </c>
      <c r="E42" s="137"/>
      <c r="F42" s="138"/>
      <c r="G42" s="138"/>
      <c r="H42" s="138"/>
      <c r="I42" s="138"/>
      <c r="J42" s="138"/>
      <c r="K42" s="139"/>
    </row>
    <row r="43" spans="1:17" ht="15" thickBot="1" x14ac:dyDescent="0.35">
      <c r="A43" s="381"/>
      <c r="B43" s="382"/>
      <c r="C43" s="383"/>
      <c r="D43" s="136" t="s">
        <v>137</v>
      </c>
      <c r="E43" s="137"/>
      <c r="F43" s="138"/>
      <c r="G43" s="138"/>
      <c r="H43" s="138"/>
      <c r="I43" s="138"/>
      <c r="J43" s="138"/>
      <c r="K43" s="139"/>
    </row>
    <row r="44" spans="1:17" x14ac:dyDescent="0.3">
      <c r="A44" s="381"/>
      <c r="B44" s="382"/>
      <c r="C44" s="383"/>
      <c r="D44" s="136" t="s">
        <v>138</v>
      </c>
      <c r="E44" s="140"/>
      <c r="F44" s="389"/>
      <c r="G44" s="390"/>
      <c r="H44" s="390"/>
      <c r="I44" s="390"/>
      <c r="J44" s="390"/>
      <c r="K44" s="391"/>
    </row>
    <row r="45" spans="1:17" x14ac:dyDescent="0.3">
      <c r="A45" s="381"/>
      <c r="B45" s="382"/>
      <c r="C45" s="383"/>
      <c r="D45" s="136"/>
      <c r="E45" s="141"/>
      <c r="F45" s="392"/>
      <c r="G45" s="393"/>
      <c r="H45" s="393"/>
      <c r="I45" s="393"/>
      <c r="J45" s="393"/>
      <c r="K45" s="394"/>
    </row>
    <row r="46" spans="1:17" ht="15" thickBot="1" x14ac:dyDescent="0.35">
      <c r="A46" s="384"/>
      <c r="B46" s="385"/>
      <c r="C46" s="386"/>
      <c r="D46" s="142"/>
      <c r="E46" s="329"/>
      <c r="F46" s="395"/>
      <c r="G46" s="396"/>
      <c r="H46" s="396"/>
      <c r="I46" s="396"/>
      <c r="J46" s="396"/>
      <c r="K46" s="397"/>
      <c r="L46" s="12"/>
    </row>
    <row r="47" spans="1:17" x14ac:dyDescent="0.3">
      <c r="A47" s="7"/>
      <c r="B47" s="7"/>
      <c r="C47" s="7"/>
      <c r="D47" s="7"/>
      <c r="E47" s="7"/>
      <c r="F47" s="7"/>
      <c r="G47" s="7"/>
      <c r="H47" s="7"/>
      <c r="I47" s="7"/>
      <c r="J47" s="7"/>
      <c r="K47" s="7"/>
      <c r="L47" s="7"/>
      <c r="M47" s="7"/>
    </row>
    <row r="48" spans="1:17" x14ac:dyDescent="0.3">
      <c r="A48" s="7"/>
      <c r="B48" s="7"/>
      <c r="C48" s="7"/>
      <c r="D48" s="7"/>
      <c r="E48" s="7"/>
      <c r="F48" s="7"/>
      <c r="G48" s="7"/>
      <c r="H48" s="7"/>
      <c r="I48" s="7"/>
      <c r="J48" s="7"/>
      <c r="K48" s="7"/>
      <c r="L48" s="7"/>
      <c r="M48" s="7"/>
    </row>
    <row r="49" spans="1:13" x14ac:dyDescent="0.3">
      <c r="A49" s="7"/>
      <c r="B49" s="7"/>
      <c r="C49" s="7"/>
      <c r="D49" s="7"/>
      <c r="E49" s="7"/>
      <c r="F49" s="7"/>
      <c r="G49" s="7"/>
      <c r="H49" s="7"/>
      <c r="I49" s="7"/>
      <c r="J49" s="7"/>
      <c r="K49" s="7"/>
      <c r="L49" s="7"/>
      <c r="M49" s="7"/>
    </row>
    <row r="50" spans="1:13" x14ac:dyDescent="0.3">
      <c r="A50" s="7"/>
      <c r="B50" s="7"/>
      <c r="C50" s="7"/>
      <c r="D50" s="7"/>
      <c r="E50" s="7"/>
      <c r="F50" s="7"/>
      <c r="G50" s="7"/>
      <c r="H50" s="7"/>
      <c r="I50" s="7"/>
      <c r="J50" s="7"/>
      <c r="K50" s="7"/>
      <c r="L50" s="7"/>
      <c r="M50" s="7"/>
    </row>
    <row r="51" spans="1:13" x14ac:dyDescent="0.3">
      <c r="A51" s="7"/>
      <c r="B51" s="7"/>
      <c r="C51" s="7"/>
      <c r="D51" s="7"/>
      <c r="E51" s="7"/>
      <c r="F51" s="7"/>
      <c r="G51" s="7"/>
      <c r="H51" s="7"/>
      <c r="I51" s="7"/>
      <c r="J51" s="7"/>
      <c r="K51" s="7"/>
      <c r="L51" s="7"/>
      <c r="M51" s="7"/>
    </row>
    <row r="52" spans="1:13" x14ac:dyDescent="0.3">
      <c r="A52" s="7"/>
      <c r="B52" s="7"/>
      <c r="C52" s="7"/>
      <c r="D52" s="7"/>
      <c r="E52" s="7"/>
      <c r="F52" s="7"/>
      <c r="G52" s="7"/>
      <c r="H52" s="7"/>
      <c r="I52" s="7"/>
      <c r="J52" s="7"/>
      <c r="K52" s="7"/>
      <c r="L52" s="7"/>
      <c r="M52" s="7"/>
    </row>
    <row r="53" spans="1:13" x14ac:dyDescent="0.3">
      <c r="A53" s="7"/>
      <c r="B53" s="7"/>
      <c r="C53" s="7"/>
      <c r="D53" s="7"/>
      <c r="E53" s="7"/>
      <c r="F53" s="7"/>
      <c r="G53" s="7"/>
      <c r="H53" s="7"/>
      <c r="I53" s="7"/>
      <c r="J53" s="7"/>
      <c r="K53" s="7"/>
      <c r="L53" s="7"/>
      <c r="M53" s="7"/>
    </row>
    <row r="54" spans="1:13" x14ac:dyDescent="0.3">
      <c r="A54" s="7"/>
      <c r="B54" s="7"/>
      <c r="C54" s="7"/>
      <c r="D54" s="7"/>
      <c r="E54" s="7"/>
      <c r="F54" s="7"/>
      <c r="G54" s="7"/>
      <c r="H54" s="7"/>
      <c r="I54" s="7"/>
      <c r="J54" s="7"/>
      <c r="K54" s="7"/>
      <c r="L54" s="7"/>
      <c r="M54" s="7"/>
    </row>
    <row r="55" spans="1:13" x14ac:dyDescent="0.3">
      <c r="A55" s="7"/>
      <c r="B55" s="7"/>
      <c r="C55" s="7"/>
      <c r="D55" s="7"/>
      <c r="E55" s="7"/>
      <c r="F55" s="7"/>
      <c r="G55" s="7"/>
      <c r="H55" s="7"/>
      <c r="I55" s="7"/>
      <c r="J55" s="7"/>
      <c r="K55" s="7"/>
      <c r="L55" s="7"/>
      <c r="M55" s="7"/>
    </row>
    <row r="56" spans="1:13" x14ac:dyDescent="0.3">
      <c r="A56" s="7"/>
      <c r="B56" s="7"/>
      <c r="C56" s="7"/>
      <c r="D56" s="7"/>
      <c r="E56" s="7"/>
      <c r="F56" s="7"/>
      <c r="G56" s="7"/>
      <c r="H56" s="7"/>
      <c r="I56" s="7"/>
      <c r="J56" s="7"/>
      <c r="K56" s="7"/>
      <c r="L56" s="7"/>
      <c r="M56" s="7"/>
    </row>
    <row r="57" spans="1:13" x14ac:dyDescent="0.3">
      <c r="A57" s="7"/>
      <c r="B57" s="7"/>
      <c r="C57" s="7"/>
      <c r="D57" s="7"/>
      <c r="E57" s="7"/>
      <c r="F57" s="7"/>
      <c r="G57" s="7"/>
      <c r="H57" s="7"/>
      <c r="I57" s="7"/>
      <c r="J57" s="7"/>
      <c r="K57" s="7"/>
      <c r="L57" s="7"/>
      <c r="M57" s="7"/>
    </row>
    <row r="58" spans="1:13" x14ac:dyDescent="0.3">
      <c r="A58" s="7"/>
      <c r="B58" s="7"/>
      <c r="C58" s="7"/>
      <c r="D58" s="7"/>
      <c r="E58" s="7"/>
      <c r="F58" s="7"/>
      <c r="G58" s="7"/>
      <c r="H58" s="7"/>
      <c r="I58" s="7"/>
      <c r="J58" s="7"/>
      <c r="K58" s="7"/>
      <c r="L58" s="7"/>
      <c r="M58" s="7"/>
    </row>
    <row r="59" spans="1:13" x14ac:dyDescent="0.3">
      <c r="A59" s="7"/>
      <c r="B59" s="7"/>
      <c r="C59" s="7"/>
      <c r="D59" s="7"/>
      <c r="E59" s="7"/>
      <c r="F59" s="7"/>
      <c r="G59" s="7"/>
      <c r="H59" s="7"/>
      <c r="I59" s="7"/>
      <c r="J59" s="7"/>
      <c r="K59" s="7"/>
      <c r="L59" s="7"/>
      <c r="M59" s="7"/>
    </row>
    <row r="60" spans="1:13" x14ac:dyDescent="0.3">
      <c r="A60" s="7"/>
      <c r="B60" s="7"/>
      <c r="C60" s="7"/>
      <c r="D60" s="7"/>
      <c r="E60" s="7"/>
      <c r="F60" s="7"/>
      <c r="G60" s="7"/>
      <c r="H60" s="7"/>
      <c r="I60" s="7"/>
      <c r="J60" s="7"/>
      <c r="K60" s="7"/>
      <c r="L60" s="7"/>
      <c r="M60" s="7"/>
    </row>
  </sheetData>
  <sheetProtection algorithmName="SHA-512" hashValue="Z8Z4F6d+8miAyCEHUO+BEKpwSrx4NVo7SiYybrbfTWgL3bDzReUsc3WwmiM4TIdn/86tX6av4mIapZGprVUxkw==" saltValue="VySEa/aAZXg6zMetVEwjzw==" spinCount="100000" sheet="1" selectLockedCells="1"/>
  <mergeCells count="67">
    <mergeCell ref="I30:K30"/>
    <mergeCell ref="I31:K31"/>
    <mergeCell ref="I33:K33"/>
    <mergeCell ref="G28:H28"/>
    <mergeCell ref="G29:H29"/>
    <mergeCell ref="G30:H30"/>
    <mergeCell ref="G33:H33"/>
    <mergeCell ref="G31:H31"/>
    <mergeCell ref="A1:K1"/>
    <mergeCell ref="A2:K2"/>
    <mergeCell ref="A3:K3"/>
    <mergeCell ref="A4:K4"/>
    <mergeCell ref="A5:K5"/>
    <mergeCell ref="A7:K7"/>
    <mergeCell ref="H17:K17"/>
    <mergeCell ref="F18:K18"/>
    <mergeCell ref="D21:K21"/>
    <mergeCell ref="D22:K22"/>
    <mergeCell ref="B8:K8"/>
    <mergeCell ref="H9:K9"/>
    <mergeCell ref="C10:K10"/>
    <mergeCell ref="B9:E9"/>
    <mergeCell ref="A11:K12"/>
    <mergeCell ref="F9:G9"/>
    <mergeCell ref="E16:H16"/>
    <mergeCell ref="A17:C20"/>
    <mergeCell ref="A16:C16"/>
    <mergeCell ref="A21:C21"/>
    <mergeCell ref="A22:C22"/>
    <mergeCell ref="A38:C46"/>
    <mergeCell ref="E20:K20"/>
    <mergeCell ref="F44:K46"/>
    <mergeCell ref="A24:C25"/>
    <mergeCell ref="G24:H24"/>
    <mergeCell ref="G25:H25"/>
    <mergeCell ref="J24:K24"/>
    <mergeCell ref="J25:K25"/>
    <mergeCell ref="D26:F26"/>
    <mergeCell ref="D34:F34"/>
    <mergeCell ref="D35:F35"/>
    <mergeCell ref="D28:F28"/>
    <mergeCell ref="D29:F29"/>
    <mergeCell ref="D30:F30"/>
    <mergeCell ref="E36:K36"/>
    <mergeCell ref="A36:C36"/>
    <mergeCell ref="D37:K37"/>
    <mergeCell ref="A37:C37"/>
    <mergeCell ref="D23:K23"/>
    <mergeCell ref="D27:F27"/>
    <mergeCell ref="I32:K32"/>
    <mergeCell ref="I34:K34"/>
    <mergeCell ref="I35:K35"/>
    <mergeCell ref="A26:C26"/>
    <mergeCell ref="G26:H26"/>
    <mergeCell ref="I26:K26"/>
    <mergeCell ref="G27:H27"/>
    <mergeCell ref="D33:F33"/>
    <mergeCell ref="I27:K27"/>
    <mergeCell ref="G32:H32"/>
    <mergeCell ref="I28:K28"/>
    <mergeCell ref="I29:K29"/>
    <mergeCell ref="G34:H34"/>
    <mergeCell ref="G35:H35"/>
    <mergeCell ref="A23:C23"/>
    <mergeCell ref="D31:F31"/>
    <mergeCell ref="D32:F32"/>
    <mergeCell ref="A27:C35"/>
  </mergeCells>
  <phoneticPr fontId="55" type="noConversion"/>
  <dataValidations count="4">
    <dataValidation type="date" allowBlank="1" showInputMessage="1" showErrorMessage="1" error="Please enter date value m/d/yyyy" sqref="K16 K19" xr:uid="{00000000-0002-0000-0100-000000000000}">
      <formula1>1</formula1>
      <formula2>402133</formula2>
    </dataValidation>
    <dataValidation type="date" allowBlank="1" showInputMessage="1" showErrorMessage="1" error="Please enter date value m/d/yyyy" sqref="I16 I19" xr:uid="{00000000-0002-0000-0100-000001000000}">
      <formula1>43466</formula1>
      <formula2>55153</formula2>
    </dataValidation>
    <dataValidation type="whole" allowBlank="1" showInputMessage="1" showErrorMessage="1" error="Please enter number value" sqref="D16" xr:uid="{00000000-0002-0000-0100-000002000000}">
      <formula1>1</formula1>
      <formula2>111111111</formula2>
    </dataValidation>
    <dataValidation type="list" allowBlank="1" showInputMessage="1" showErrorMessage="1" sqref="D36" xr:uid="{00000000-0002-0000-0100-000003000000}">
      <formula1>$V$19:$V$20</formula1>
    </dataValidation>
  </dataValidations>
  <hyperlinks>
    <hyperlink ref="A6" r:id="rId1" display="www.itmat.upenn.edu/ids.shtml" xr:uid="{00000000-0004-0000-0100-000000000000}"/>
    <hyperlink ref="D6" r:id="rId2" xr:uid="{00000000-0004-0000-0100-000001000000}"/>
    <hyperlink ref="H6" r:id="rId3" xr:uid="{00000000-0004-0000-0100-000002000000}"/>
  </hyperlinks>
  <pageMargins left="0.7" right="0.7" top="0.75" bottom="0.75" header="0.3" footer="0.3"/>
  <pageSetup scale="86"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32" r:id="rId7" name="Check Box 8">
              <controlPr defaultSize="0" autoFill="0" autoLine="0" autoPict="0" altText="HUP">
                <anchor moveWithCells="1">
                  <from>
                    <xdr:col>4</xdr:col>
                    <xdr:colOff>175260</xdr:colOff>
                    <xdr:row>16</xdr:row>
                    <xdr:rowOff>0</xdr:rowOff>
                  </from>
                  <to>
                    <xdr:col>4</xdr:col>
                    <xdr:colOff>594360</xdr:colOff>
                    <xdr:row>17</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4</xdr:col>
                    <xdr:colOff>632460</xdr:colOff>
                    <xdr:row>16</xdr:row>
                    <xdr:rowOff>22860</xdr:rowOff>
                  </from>
                  <to>
                    <xdr:col>5</xdr:col>
                    <xdr:colOff>289560</xdr:colOff>
                    <xdr:row>16</xdr:row>
                    <xdr:rowOff>228600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5</xdr:col>
                    <xdr:colOff>396240</xdr:colOff>
                    <xdr:row>16</xdr:row>
                    <xdr:rowOff>53340</xdr:rowOff>
                  </from>
                  <to>
                    <xdr:col>6</xdr:col>
                    <xdr:colOff>205740</xdr:colOff>
                    <xdr:row>16</xdr:row>
                    <xdr:rowOff>213360</xdr:rowOff>
                  </to>
                </anchor>
              </controlPr>
            </control>
          </mc:Choice>
        </mc:AlternateContent>
        <mc:AlternateContent xmlns:mc="http://schemas.openxmlformats.org/markup-compatibility/2006">
          <mc:Choice Requires="x14">
            <control shapeId="1036" r:id="rId10" name="Check Box 12">
              <controlPr defaultSize="0" autoFill="0" autoLine="0" autoPict="0" altText="HUP">
                <anchor moveWithCells="1">
                  <from>
                    <xdr:col>5</xdr:col>
                    <xdr:colOff>22860</xdr:colOff>
                    <xdr:row>18</xdr:row>
                    <xdr:rowOff>15240</xdr:rowOff>
                  </from>
                  <to>
                    <xdr:col>5</xdr:col>
                    <xdr:colOff>441960</xdr:colOff>
                    <xdr:row>19</xdr:row>
                    <xdr:rowOff>15240</xdr:rowOff>
                  </to>
                </anchor>
              </controlPr>
            </control>
          </mc:Choice>
        </mc:AlternateContent>
        <mc:AlternateContent xmlns:mc="http://schemas.openxmlformats.org/markup-compatibility/2006">
          <mc:Choice Requires="x14">
            <control shapeId="1038" r:id="rId11" name="Check Box 14">
              <controlPr defaultSize="0" autoFill="0" autoLine="0" autoPict="0" altText="HUP">
                <anchor moveWithCells="1">
                  <from>
                    <xdr:col>6</xdr:col>
                    <xdr:colOff>22860</xdr:colOff>
                    <xdr:row>18</xdr:row>
                    <xdr:rowOff>15240</xdr:rowOff>
                  </from>
                  <to>
                    <xdr:col>7</xdr:col>
                    <xdr:colOff>281940</xdr:colOff>
                    <xdr:row>19</xdr:row>
                    <xdr:rowOff>15240</xdr:rowOff>
                  </to>
                </anchor>
              </controlPr>
            </control>
          </mc:Choice>
        </mc:AlternateContent>
        <mc:AlternateContent xmlns:mc="http://schemas.openxmlformats.org/markup-compatibility/2006">
          <mc:Choice Requires="x14">
            <control shapeId="1039" r:id="rId12" name="Check Box 15">
              <controlPr defaultSize="0" autoFill="0" autoLine="0" autoPict="0" altText="HUP">
                <anchor moveWithCells="1">
                  <from>
                    <xdr:col>7</xdr:col>
                    <xdr:colOff>365760</xdr:colOff>
                    <xdr:row>18</xdr:row>
                    <xdr:rowOff>15240</xdr:rowOff>
                  </from>
                  <to>
                    <xdr:col>8</xdr:col>
                    <xdr:colOff>396240</xdr:colOff>
                    <xdr:row>19</xdr:row>
                    <xdr:rowOff>15240</xdr:rowOff>
                  </to>
                </anchor>
              </controlPr>
            </control>
          </mc:Choice>
        </mc:AlternateContent>
        <mc:AlternateContent xmlns:mc="http://schemas.openxmlformats.org/markup-compatibility/2006">
          <mc:Choice Requires="x14">
            <control shapeId="1040" r:id="rId13" name="Check Box 16">
              <controlPr defaultSize="0" autoFill="0" autoLine="0" autoPict="0" altText="HUP">
                <anchor moveWithCells="1">
                  <from>
                    <xdr:col>3</xdr:col>
                    <xdr:colOff>0</xdr:colOff>
                    <xdr:row>37</xdr:row>
                    <xdr:rowOff>0</xdr:rowOff>
                  </from>
                  <to>
                    <xdr:col>3</xdr:col>
                    <xdr:colOff>175260</xdr:colOff>
                    <xdr:row>38</xdr:row>
                    <xdr:rowOff>15240</xdr:rowOff>
                  </to>
                </anchor>
              </controlPr>
            </control>
          </mc:Choice>
        </mc:AlternateContent>
        <mc:AlternateContent xmlns:mc="http://schemas.openxmlformats.org/markup-compatibility/2006">
          <mc:Choice Requires="x14">
            <control shapeId="1041" r:id="rId14" name="Check Box 17">
              <controlPr defaultSize="0" autoFill="0" autoLine="0" autoPict="0" altText="HUP">
                <anchor moveWithCells="1">
                  <from>
                    <xdr:col>3</xdr:col>
                    <xdr:colOff>0</xdr:colOff>
                    <xdr:row>38</xdr:row>
                    <xdr:rowOff>0</xdr:rowOff>
                  </from>
                  <to>
                    <xdr:col>3</xdr:col>
                    <xdr:colOff>175260</xdr:colOff>
                    <xdr:row>39</xdr:row>
                    <xdr:rowOff>15240</xdr:rowOff>
                  </to>
                </anchor>
              </controlPr>
            </control>
          </mc:Choice>
        </mc:AlternateContent>
        <mc:AlternateContent xmlns:mc="http://schemas.openxmlformats.org/markup-compatibility/2006">
          <mc:Choice Requires="x14">
            <control shapeId="1042" r:id="rId15" name="Check Box 18">
              <controlPr defaultSize="0" autoFill="0" autoLine="0" autoPict="0" altText="HUP">
                <anchor moveWithCells="1">
                  <from>
                    <xdr:col>3</xdr:col>
                    <xdr:colOff>0</xdr:colOff>
                    <xdr:row>39</xdr:row>
                    <xdr:rowOff>15240</xdr:rowOff>
                  </from>
                  <to>
                    <xdr:col>3</xdr:col>
                    <xdr:colOff>175260</xdr:colOff>
                    <xdr:row>40</xdr:row>
                    <xdr:rowOff>22860</xdr:rowOff>
                  </to>
                </anchor>
              </controlPr>
            </control>
          </mc:Choice>
        </mc:AlternateContent>
        <mc:AlternateContent xmlns:mc="http://schemas.openxmlformats.org/markup-compatibility/2006">
          <mc:Choice Requires="x14">
            <control shapeId="1043" r:id="rId16" name="Check Box 19">
              <controlPr defaultSize="0" autoFill="0" autoLine="0" autoPict="0" altText="HUP">
                <anchor moveWithCells="1">
                  <from>
                    <xdr:col>3</xdr:col>
                    <xdr:colOff>0</xdr:colOff>
                    <xdr:row>40</xdr:row>
                    <xdr:rowOff>0</xdr:rowOff>
                  </from>
                  <to>
                    <xdr:col>3</xdr:col>
                    <xdr:colOff>175260</xdr:colOff>
                    <xdr:row>41</xdr:row>
                    <xdr:rowOff>15240</xdr:rowOff>
                  </to>
                </anchor>
              </controlPr>
            </control>
          </mc:Choice>
        </mc:AlternateContent>
        <mc:AlternateContent xmlns:mc="http://schemas.openxmlformats.org/markup-compatibility/2006">
          <mc:Choice Requires="x14">
            <control shapeId="1044" r:id="rId17" name="Check Box 20">
              <controlPr defaultSize="0" autoFill="0" autoLine="0" autoPict="0" altText="HUP">
                <anchor moveWithCells="1">
                  <from>
                    <xdr:col>3</xdr:col>
                    <xdr:colOff>0</xdr:colOff>
                    <xdr:row>40</xdr:row>
                    <xdr:rowOff>175260</xdr:rowOff>
                  </from>
                  <to>
                    <xdr:col>3</xdr:col>
                    <xdr:colOff>175260</xdr:colOff>
                    <xdr:row>42</xdr:row>
                    <xdr:rowOff>15240</xdr:rowOff>
                  </to>
                </anchor>
              </controlPr>
            </control>
          </mc:Choice>
        </mc:AlternateContent>
        <mc:AlternateContent xmlns:mc="http://schemas.openxmlformats.org/markup-compatibility/2006">
          <mc:Choice Requires="x14">
            <control shapeId="1045" r:id="rId18" name="Check Box 21">
              <controlPr defaultSize="0" autoFill="0" autoLine="0" autoPict="0" altText="HUP">
                <anchor moveWithCells="1">
                  <from>
                    <xdr:col>3</xdr:col>
                    <xdr:colOff>0</xdr:colOff>
                    <xdr:row>41</xdr:row>
                    <xdr:rowOff>167640</xdr:rowOff>
                  </from>
                  <to>
                    <xdr:col>3</xdr:col>
                    <xdr:colOff>175260</xdr:colOff>
                    <xdr:row>42</xdr:row>
                    <xdr:rowOff>175260</xdr:rowOff>
                  </to>
                </anchor>
              </controlPr>
            </control>
          </mc:Choice>
        </mc:AlternateContent>
        <mc:AlternateContent xmlns:mc="http://schemas.openxmlformats.org/markup-compatibility/2006">
          <mc:Choice Requires="x14">
            <control shapeId="1046" r:id="rId19" name="Check Box 22">
              <controlPr defaultSize="0" autoFill="0" autoLine="0" autoPict="0" altText="HUP">
                <anchor moveWithCells="1">
                  <from>
                    <xdr:col>3</xdr:col>
                    <xdr:colOff>15240</xdr:colOff>
                    <xdr:row>42</xdr:row>
                    <xdr:rowOff>167640</xdr:rowOff>
                  </from>
                  <to>
                    <xdr:col>3</xdr:col>
                    <xdr:colOff>175260</xdr:colOff>
                    <xdr:row>43</xdr:row>
                    <xdr:rowOff>175260</xdr:rowOff>
                  </to>
                </anchor>
              </controlPr>
            </control>
          </mc:Choice>
        </mc:AlternateContent>
        <mc:AlternateContent xmlns:mc="http://schemas.openxmlformats.org/markup-compatibility/2006">
          <mc:Choice Requires="x14">
            <control shapeId="1047" r:id="rId20" name="Check Box 23">
              <controlPr defaultSize="0" autoFill="0" autoLine="0" autoPict="0" altText="HUP">
                <anchor moveWithCells="1">
                  <from>
                    <xdr:col>5</xdr:col>
                    <xdr:colOff>22860</xdr:colOff>
                    <xdr:row>18</xdr:row>
                    <xdr:rowOff>22860</xdr:rowOff>
                  </from>
                  <to>
                    <xdr:col>5</xdr:col>
                    <xdr:colOff>441960</xdr:colOff>
                    <xdr:row>19</xdr:row>
                    <xdr:rowOff>22860</xdr:rowOff>
                  </to>
                </anchor>
              </controlPr>
            </control>
          </mc:Choice>
        </mc:AlternateContent>
        <mc:AlternateContent xmlns:mc="http://schemas.openxmlformats.org/markup-compatibility/2006">
          <mc:Choice Requires="x14">
            <control shapeId="1048" r:id="rId21" name="Check Box 24">
              <controlPr defaultSize="0" autoFill="0" autoLine="0" autoPict="0" altText="HUP">
                <anchor moveWithCells="1">
                  <from>
                    <xdr:col>6</xdr:col>
                    <xdr:colOff>22860</xdr:colOff>
                    <xdr:row>18</xdr:row>
                    <xdr:rowOff>22860</xdr:rowOff>
                  </from>
                  <to>
                    <xdr:col>7</xdr:col>
                    <xdr:colOff>289560</xdr:colOff>
                    <xdr:row>19</xdr:row>
                    <xdr:rowOff>22860</xdr:rowOff>
                  </to>
                </anchor>
              </controlPr>
            </control>
          </mc:Choice>
        </mc:AlternateContent>
        <mc:AlternateContent xmlns:mc="http://schemas.openxmlformats.org/markup-compatibility/2006">
          <mc:Choice Requires="x14">
            <control shapeId="1049" r:id="rId22" name="Check Box 25">
              <controlPr defaultSize="0" autoFill="0" autoLine="0" autoPict="0" altText="HUP">
                <anchor moveWithCells="1">
                  <from>
                    <xdr:col>7</xdr:col>
                    <xdr:colOff>365760</xdr:colOff>
                    <xdr:row>18</xdr:row>
                    <xdr:rowOff>22860</xdr:rowOff>
                  </from>
                  <to>
                    <xdr:col>8</xdr:col>
                    <xdr:colOff>396240</xdr:colOff>
                    <xdr:row>19</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932E6-790C-4078-BC55-71947047FB63}">
  <sheetPr>
    <tabColor theme="8" tint="-0.249977111117893"/>
    <pageSetUpPr fitToPage="1"/>
  </sheetPr>
  <dimension ref="A1:AA159"/>
  <sheetViews>
    <sheetView workbookViewId="0">
      <selection activeCell="A7" sqref="A7:B7"/>
    </sheetView>
  </sheetViews>
  <sheetFormatPr defaultRowHeight="14.4" x14ac:dyDescent="0.3"/>
  <cols>
    <col min="2" max="2" width="15" customWidth="1"/>
    <col min="3" max="3" width="10.88671875" customWidth="1"/>
    <col min="4" max="4" width="7.5546875" customWidth="1"/>
    <col min="5" max="5" width="11" customWidth="1"/>
    <col min="6" max="6" width="14.33203125" customWidth="1"/>
    <col min="7" max="7" width="7" customWidth="1"/>
    <col min="8" max="8" width="7.44140625" customWidth="1"/>
    <col min="9" max="9" width="6.44140625" customWidth="1"/>
    <col min="10" max="10" width="7.109375" customWidth="1"/>
    <col min="14" max="17" width="8.88671875" hidden="1" customWidth="1"/>
    <col min="18" max="18" width="19.109375" hidden="1" customWidth="1"/>
    <col min="19" max="21" width="8.88671875" hidden="1" customWidth="1"/>
    <col min="22" max="22" width="0" hidden="1" customWidth="1"/>
  </cols>
  <sheetData>
    <row r="1" spans="1:27" x14ac:dyDescent="0.3">
      <c r="A1" s="483" t="s">
        <v>298</v>
      </c>
      <c r="B1" s="484"/>
      <c r="C1" s="484"/>
      <c r="D1" s="484"/>
      <c r="E1" s="484"/>
      <c r="F1" s="484"/>
      <c r="G1" s="484"/>
      <c r="H1" s="484"/>
      <c r="I1" s="484"/>
      <c r="J1" s="484"/>
      <c r="K1" s="399"/>
      <c r="L1" s="399"/>
      <c r="M1" s="400"/>
      <c r="Q1" t="s">
        <v>65</v>
      </c>
    </row>
    <row r="2" spans="1:27" x14ac:dyDescent="0.3">
      <c r="A2" s="485"/>
      <c r="B2" s="486"/>
      <c r="C2" s="486"/>
      <c r="D2" s="486"/>
      <c r="E2" s="486"/>
      <c r="F2" s="486"/>
      <c r="G2" s="486"/>
      <c r="H2" s="486"/>
      <c r="I2" s="486"/>
      <c r="J2" s="486"/>
      <c r="K2" s="402"/>
      <c r="L2" s="402"/>
      <c r="M2" s="403"/>
      <c r="Q2" t="s">
        <v>66</v>
      </c>
    </row>
    <row r="3" spans="1:27" x14ac:dyDescent="0.3">
      <c r="A3" s="487" t="s">
        <v>301</v>
      </c>
      <c r="B3" s="488"/>
      <c r="C3" s="488"/>
      <c r="D3" s="488"/>
      <c r="E3" s="488"/>
      <c r="F3" s="488"/>
      <c r="G3" s="488"/>
      <c r="H3" s="488"/>
      <c r="I3" s="488"/>
      <c r="J3" s="488"/>
      <c r="K3" s="489"/>
      <c r="L3" s="489"/>
      <c r="M3" s="490"/>
    </row>
    <row r="4" spans="1:27" x14ac:dyDescent="0.3">
      <c r="A4" s="491"/>
      <c r="B4" s="492"/>
      <c r="C4" s="492"/>
      <c r="D4" s="492"/>
      <c r="E4" s="492"/>
      <c r="F4" s="492"/>
      <c r="G4" s="492"/>
      <c r="H4" s="492"/>
      <c r="I4" s="492"/>
      <c r="J4" s="492"/>
      <c r="K4" s="493"/>
      <c r="L4" s="493"/>
      <c r="M4" s="494"/>
    </row>
    <row r="5" spans="1:27" x14ac:dyDescent="0.3">
      <c r="A5" s="495" t="s">
        <v>203</v>
      </c>
      <c r="B5" s="495"/>
      <c r="C5" s="480" t="s">
        <v>299</v>
      </c>
      <c r="D5" s="481"/>
      <c r="E5" s="496" t="s">
        <v>7</v>
      </c>
      <c r="F5" s="497"/>
      <c r="G5" s="496" t="s">
        <v>294</v>
      </c>
      <c r="H5" s="497"/>
      <c r="I5" s="496" t="s">
        <v>296</v>
      </c>
      <c r="J5" s="497"/>
      <c r="K5" s="499" t="s">
        <v>295</v>
      </c>
      <c r="L5" s="500"/>
      <c r="M5" s="501"/>
    </row>
    <row r="6" spans="1:27" ht="25.8" customHeight="1" x14ac:dyDescent="0.3">
      <c r="A6" s="495"/>
      <c r="B6" s="495"/>
      <c r="C6" s="482"/>
      <c r="D6" s="482"/>
      <c r="E6" s="498"/>
      <c r="F6" s="498"/>
      <c r="G6" s="498"/>
      <c r="H6" s="498"/>
      <c r="I6" s="498"/>
      <c r="J6" s="498"/>
      <c r="K6" s="502"/>
      <c r="L6" s="503"/>
      <c r="M6" s="504"/>
    </row>
    <row r="7" spans="1:27" ht="28.05" customHeight="1" x14ac:dyDescent="0.3">
      <c r="A7" s="476"/>
      <c r="B7" s="477"/>
      <c r="C7" s="467"/>
      <c r="D7" s="468"/>
      <c r="E7" s="474"/>
      <c r="F7" s="475"/>
      <c r="G7" s="467"/>
      <c r="H7" s="468"/>
      <c r="I7" s="467"/>
      <c r="J7" s="468"/>
      <c r="K7" s="459" t="str">
        <f>IF(OR(A7="",G7="",I7="",C7=""),"",IF(P7=0,"Medication WILL NOT be dispensed by IDS","Medication WILL be dispensed by IDS"))</f>
        <v/>
      </c>
      <c r="L7" s="460"/>
      <c r="M7" s="461"/>
      <c r="N7" t="str">
        <f>IF(A7="","",IF(G7="No",1,0))</f>
        <v/>
      </c>
      <c r="O7" t="str">
        <f>IF(A7="","",IF(I7="Yes",1,0))</f>
        <v/>
      </c>
      <c r="P7">
        <f>IF(A7="",0,N7+O7+U7)</f>
        <v>0</v>
      </c>
      <c r="Q7">
        <f>IF(A7="",0,IF(P7&gt;0,1,""))</f>
        <v>0</v>
      </c>
      <c r="R7" t="str">
        <f>IF(Q7="","",IF(Q7&gt;0,A7,""))</f>
        <v/>
      </c>
      <c r="S7" t="str">
        <f>IF(Q7="","",IF(Q7&gt;0,C7,""))</f>
        <v/>
      </c>
      <c r="T7" s="12" t="str">
        <f>IF(Q7="","",IF(Q7&gt;0,E7,""))</f>
        <v/>
      </c>
      <c r="U7">
        <f>IF(C7="Yes",1,0)</f>
        <v>0</v>
      </c>
    </row>
    <row r="8" spans="1:27" ht="28.05" customHeight="1" x14ac:dyDescent="0.3">
      <c r="A8" s="476"/>
      <c r="B8" s="477"/>
      <c r="C8" s="462"/>
      <c r="D8" s="463"/>
      <c r="E8" s="469"/>
      <c r="F8" s="470"/>
      <c r="G8" s="462"/>
      <c r="H8" s="463"/>
      <c r="I8" s="462"/>
      <c r="J8" s="463"/>
      <c r="K8" s="453" t="str">
        <f>IF(OR(A8="",G8="",I8="",C8=""),"",IF(P8=0,"Medication WILL NOT be dispensed by IDS","Medication WILL be dispensed by IDS"))</f>
        <v/>
      </c>
      <c r="L8" s="454"/>
      <c r="M8" s="455"/>
      <c r="N8" t="str">
        <f t="shared" ref="N8:N15" si="0">IF(A8="","",IF(G8="No",1,0))</f>
        <v/>
      </c>
      <c r="O8" t="str">
        <f t="shared" ref="O8:O15" si="1">IF(A8="","",IF(I8="Yes",1,0))</f>
        <v/>
      </c>
      <c r="P8">
        <f t="shared" ref="P8:P15" si="2">IF(A8="",0,N8+O8+U8)</f>
        <v>0</v>
      </c>
      <c r="Q8">
        <f>IF(A8="",0,IF(P8&gt;0,Q7+1,""))</f>
        <v>0</v>
      </c>
      <c r="R8" t="str">
        <f t="shared" ref="R8:R15" si="3">IF(Q8="","",IF(Q8&gt;0,A8,""))</f>
        <v/>
      </c>
      <c r="S8" t="str">
        <f t="shared" ref="S8:S15" si="4">IF(Q8="","",IF(Q8&gt;0,C8,""))</f>
        <v/>
      </c>
      <c r="T8" s="12" t="str">
        <f t="shared" ref="T8:T15" si="5">IF(Q8="","",IF(Q8&gt;0,E8,""))</f>
        <v/>
      </c>
      <c r="U8">
        <f t="shared" ref="U8:U15" si="6">IF(C8="Yes",1,0)</f>
        <v>0</v>
      </c>
    </row>
    <row r="9" spans="1:27" ht="28.05" customHeight="1" x14ac:dyDescent="0.3">
      <c r="A9" s="476"/>
      <c r="B9" s="477"/>
      <c r="C9" s="462"/>
      <c r="D9" s="463"/>
      <c r="E9" s="469"/>
      <c r="F9" s="470"/>
      <c r="G9" s="462"/>
      <c r="H9" s="463"/>
      <c r="I9" s="462"/>
      <c r="J9" s="463"/>
      <c r="K9" s="453" t="str">
        <f t="shared" ref="K9:K14" si="7">IF(OR(A9="",G9="",I9="",C9=""),"",IF(P9=0,"Medication WILL NOT be dispensed by IDS","Medication WILL be dispensed by IDS"))</f>
        <v/>
      </c>
      <c r="L9" s="454"/>
      <c r="M9" s="455"/>
      <c r="N9" t="str">
        <f t="shared" si="0"/>
        <v/>
      </c>
      <c r="O9" t="str">
        <f t="shared" si="1"/>
        <v/>
      </c>
      <c r="P9">
        <f t="shared" si="2"/>
        <v>0</v>
      </c>
      <c r="Q9" t="str">
        <f>IF(A9="","",IF(P9&gt;0,1+MAX(Q7:Q8),""))</f>
        <v/>
      </c>
      <c r="R9" t="str">
        <f t="shared" si="3"/>
        <v/>
      </c>
      <c r="S9" t="str">
        <f t="shared" si="4"/>
        <v/>
      </c>
      <c r="T9" s="12" t="str">
        <f t="shared" si="5"/>
        <v/>
      </c>
      <c r="U9">
        <f t="shared" si="6"/>
        <v>0</v>
      </c>
    </row>
    <row r="10" spans="1:27" ht="28.05" customHeight="1" x14ac:dyDescent="0.3">
      <c r="A10" s="476"/>
      <c r="B10" s="477"/>
      <c r="C10" s="462"/>
      <c r="D10" s="463"/>
      <c r="E10" s="469"/>
      <c r="F10" s="470"/>
      <c r="G10" s="462"/>
      <c r="H10" s="463"/>
      <c r="I10" s="462"/>
      <c r="J10" s="463"/>
      <c r="K10" s="453" t="str">
        <f t="shared" si="7"/>
        <v/>
      </c>
      <c r="L10" s="454"/>
      <c r="M10" s="455"/>
      <c r="N10" t="str">
        <f t="shared" si="0"/>
        <v/>
      </c>
      <c r="O10" t="str">
        <f t="shared" si="1"/>
        <v/>
      </c>
      <c r="P10">
        <f t="shared" si="2"/>
        <v>0</v>
      </c>
      <c r="Q10" t="str">
        <f>IF(A10="","",IF(P10&gt;0,1+MAX(Q7:Q9),""))</f>
        <v/>
      </c>
      <c r="R10" t="str">
        <f t="shared" si="3"/>
        <v/>
      </c>
      <c r="S10" t="str">
        <f t="shared" si="4"/>
        <v/>
      </c>
      <c r="T10" s="12" t="str">
        <f t="shared" si="5"/>
        <v/>
      </c>
      <c r="U10">
        <f t="shared" si="6"/>
        <v>0</v>
      </c>
    </row>
    <row r="11" spans="1:27" ht="28.05" customHeight="1" x14ac:dyDescent="0.3">
      <c r="A11" s="476"/>
      <c r="B11" s="477"/>
      <c r="C11" s="462"/>
      <c r="D11" s="463"/>
      <c r="E11" s="469"/>
      <c r="F11" s="470"/>
      <c r="G11" s="462"/>
      <c r="H11" s="463"/>
      <c r="I11" s="462"/>
      <c r="J11" s="463"/>
      <c r="K11" s="453" t="str">
        <f t="shared" si="7"/>
        <v/>
      </c>
      <c r="L11" s="454"/>
      <c r="M11" s="455"/>
      <c r="N11" t="str">
        <f t="shared" si="0"/>
        <v/>
      </c>
      <c r="O11" t="str">
        <f t="shared" si="1"/>
        <v/>
      </c>
      <c r="P11">
        <f t="shared" si="2"/>
        <v>0</v>
      </c>
      <c r="Q11" t="str">
        <f>IF(A11="","",IF(P11&gt;0,1+MAX(Q7:Q10),""))</f>
        <v/>
      </c>
      <c r="R11" t="str">
        <f t="shared" si="3"/>
        <v/>
      </c>
      <c r="S11" t="str">
        <f t="shared" si="4"/>
        <v/>
      </c>
      <c r="T11" s="12" t="str">
        <f t="shared" si="5"/>
        <v/>
      </c>
      <c r="U11">
        <f t="shared" si="6"/>
        <v>0</v>
      </c>
    </row>
    <row r="12" spans="1:27" ht="28.05" customHeight="1" x14ac:dyDescent="0.3">
      <c r="A12" s="476"/>
      <c r="B12" s="477"/>
      <c r="C12" s="462"/>
      <c r="D12" s="463"/>
      <c r="E12" s="469"/>
      <c r="F12" s="470"/>
      <c r="G12" s="462"/>
      <c r="H12" s="463"/>
      <c r="I12" s="462"/>
      <c r="J12" s="463"/>
      <c r="K12" s="453" t="str">
        <f t="shared" si="7"/>
        <v/>
      </c>
      <c r="L12" s="454"/>
      <c r="M12" s="455"/>
      <c r="N12" t="str">
        <f t="shared" si="0"/>
        <v/>
      </c>
      <c r="O12" t="str">
        <f t="shared" si="1"/>
        <v/>
      </c>
      <c r="P12">
        <f t="shared" si="2"/>
        <v>0</v>
      </c>
      <c r="Q12" t="str">
        <f>IF(A12="","",IF(P12&gt;0,1+MAX(Q7:Q11),""))</f>
        <v/>
      </c>
      <c r="R12" t="str">
        <f t="shared" si="3"/>
        <v/>
      </c>
      <c r="S12" t="str">
        <f t="shared" si="4"/>
        <v/>
      </c>
      <c r="T12" s="12" t="str">
        <f t="shared" si="5"/>
        <v/>
      </c>
      <c r="U12">
        <f t="shared" si="6"/>
        <v>0</v>
      </c>
      <c r="AA12" s="12"/>
    </row>
    <row r="13" spans="1:27" ht="28.05" customHeight="1" x14ac:dyDescent="0.3">
      <c r="A13" s="476"/>
      <c r="B13" s="477"/>
      <c r="C13" s="462"/>
      <c r="D13" s="463"/>
      <c r="E13" s="469"/>
      <c r="F13" s="470"/>
      <c r="G13" s="462"/>
      <c r="H13" s="463"/>
      <c r="I13" s="462"/>
      <c r="J13" s="463"/>
      <c r="K13" s="453" t="str">
        <f t="shared" si="7"/>
        <v/>
      </c>
      <c r="L13" s="454"/>
      <c r="M13" s="455"/>
      <c r="N13" t="str">
        <f t="shared" si="0"/>
        <v/>
      </c>
      <c r="O13" t="str">
        <f t="shared" si="1"/>
        <v/>
      </c>
      <c r="P13">
        <f t="shared" si="2"/>
        <v>0</v>
      </c>
      <c r="Q13" t="str">
        <f>IF(A13="","",IF(P13&gt;0,1+MAX(Q7:Q12),""))</f>
        <v/>
      </c>
      <c r="R13" t="str">
        <f t="shared" si="3"/>
        <v/>
      </c>
      <c r="S13" t="str">
        <f t="shared" si="4"/>
        <v/>
      </c>
      <c r="T13" s="12" t="str">
        <f t="shared" si="5"/>
        <v/>
      </c>
      <c r="U13">
        <f t="shared" si="6"/>
        <v>0</v>
      </c>
    </row>
    <row r="14" spans="1:27" ht="28.05" customHeight="1" x14ac:dyDescent="0.3">
      <c r="A14" s="476"/>
      <c r="B14" s="477"/>
      <c r="C14" s="462"/>
      <c r="D14" s="463"/>
      <c r="E14" s="469"/>
      <c r="F14" s="470"/>
      <c r="G14" s="462"/>
      <c r="H14" s="463"/>
      <c r="I14" s="464"/>
      <c r="J14" s="463"/>
      <c r="K14" s="453" t="str">
        <f t="shared" si="7"/>
        <v/>
      </c>
      <c r="L14" s="454"/>
      <c r="M14" s="455"/>
      <c r="N14" t="str">
        <f t="shared" si="0"/>
        <v/>
      </c>
      <c r="O14" t="str">
        <f t="shared" si="1"/>
        <v/>
      </c>
      <c r="P14">
        <f t="shared" si="2"/>
        <v>0</v>
      </c>
      <c r="Q14" t="str">
        <f>IF(A14="","",IF(P14&gt;0,1+MAX(Q7:Q13),""))</f>
        <v/>
      </c>
      <c r="R14" t="str">
        <f t="shared" si="3"/>
        <v/>
      </c>
      <c r="S14" t="str">
        <f t="shared" si="4"/>
        <v/>
      </c>
      <c r="T14" s="12" t="str">
        <f t="shared" si="5"/>
        <v/>
      </c>
      <c r="U14">
        <f t="shared" si="6"/>
        <v>0</v>
      </c>
    </row>
    <row r="15" spans="1:27" ht="28.05" customHeight="1" x14ac:dyDescent="0.3">
      <c r="A15" s="478"/>
      <c r="B15" s="479"/>
      <c r="C15" s="473"/>
      <c r="D15" s="466"/>
      <c r="E15" s="471"/>
      <c r="F15" s="472"/>
      <c r="G15" s="473"/>
      <c r="H15" s="466"/>
      <c r="I15" s="465"/>
      <c r="J15" s="466"/>
      <c r="K15" s="456" t="str">
        <f t="shared" ref="K15" si="8">IF(OR(A15="",G15="",I15="",C15=""),"",IF(P15=0,"Medication WILL NOT be dispensed by IDS","Medication WILL be dispensed by IDS"))</f>
        <v/>
      </c>
      <c r="L15" s="457"/>
      <c r="M15" s="458"/>
      <c r="N15" t="str">
        <f t="shared" si="0"/>
        <v/>
      </c>
      <c r="O15" t="str">
        <f t="shared" si="1"/>
        <v/>
      </c>
      <c r="P15">
        <f t="shared" si="2"/>
        <v>0</v>
      </c>
      <c r="Q15" t="str">
        <f>IF(A15="","",IF(P15&gt;0,1+MAX(Q7:Q14),""))</f>
        <v/>
      </c>
      <c r="R15" t="str">
        <f t="shared" si="3"/>
        <v/>
      </c>
      <c r="S15" t="str">
        <f t="shared" si="4"/>
        <v/>
      </c>
      <c r="T15" s="12" t="str">
        <f t="shared" si="5"/>
        <v/>
      </c>
      <c r="U15">
        <f t="shared" si="6"/>
        <v>0</v>
      </c>
    </row>
    <row r="16" spans="1:27" ht="25.2" customHeight="1" x14ac:dyDescent="0.3">
      <c r="A16" s="7"/>
      <c r="B16" s="7"/>
      <c r="C16" s="7"/>
      <c r="D16" s="7"/>
      <c r="E16" s="7"/>
      <c r="F16" s="7"/>
      <c r="G16" s="7"/>
      <c r="H16" s="7"/>
      <c r="I16" s="7"/>
      <c r="J16" s="7"/>
      <c r="K16" s="7"/>
      <c r="L16" s="7"/>
      <c r="M16" s="7"/>
      <c r="N16" s="7"/>
      <c r="O16" s="7"/>
      <c r="P16" s="7"/>
      <c r="Q16" s="7"/>
      <c r="R16" s="7"/>
      <c r="S16" s="7"/>
    </row>
    <row r="17" spans="1:19" ht="25.2" customHeight="1" x14ac:dyDescent="0.3">
      <c r="A17" s="7"/>
      <c r="B17" s="7"/>
      <c r="C17" s="7"/>
      <c r="D17" s="7"/>
      <c r="E17" s="7"/>
      <c r="F17" s="7"/>
      <c r="G17" s="7"/>
      <c r="H17" s="7"/>
      <c r="I17" s="7"/>
      <c r="J17" s="7"/>
      <c r="K17" s="7"/>
      <c r="L17" s="7"/>
      <c r="M17" s="7"/>
      <c r="N17" s="7"/>
      <c r="O17" s="7"/>
      <c r="P17" s="7"/>
      <c r="Q17" s="7"/>
      <c r="R17" s="7"/>
      <c r="S17" s="7"/>
    </row>
    <row r="18" spans="1:19" ht="25.2" customHeight="1" x14ac:dyDescent="0.3">
      <c r="A18" s="7"/>
      <c r="B18" s="7"/>
      <c r="C18" s="7"/>
      <c r="D18" s="7"/>
      <c r="E18" s="7"/>
      <c r="F18" s="7"/>
      <c r="G18" s="7"/>
      <c r="H18" s="7"/>
      <c r="I18" s="7"/>
      <c r="J18" s="7"/>
      <c r="K18" s="7"/>
      <c r="L18" s="7"/>
      <c r="M18" s="7"/>
      <c r="N18" s="7"/>
      <c r="O18" s="7"/>
      <c r="P18" s="7"/>
      <c r="Q18" s="7"/>
      <c r="R18" s="7"/>
      <c r="S18" s="7"/>
    </row>
    <row r="19" spans="1:19" ht="25.2" customHeight="1" x14ac:dyDescent="0.3">
      <c r="A19" s="7"/>
      <c r="B19" s="7"/>
      <c r="C19" s="7"/>
      <c r="D19" s="7"/>
      <c r="E19" s="7"/>
      <c r="F19" s="7"/>
      <c r="G19" s="7"/>
      <c r="H19" s="7"/>
      <c r="I19" s="7"/>
      <c r="J19" s="7"/>
      <c r="K19" s="7"/>
      <c r="L19" s="7"/>
      <c r="M19" s="7"/>
      <c r="N19" s="7"/>
      <c r="O19" s="7"/>
      <c r="P19" s="7"/>
      <c r="Q19" s="7"/>
      <c r="R19" s="7"/>
      <c r="S19" s="7"/>
    </row>
    <row r="20" spans="1:19" ht="25.2" customHeight="1" x14ac:dyDescent="0.3">
      <c r="A20" s="7"/>
      <c r="B20" s="7"/>
      <c r="C20" s="7"/>
      <c r="D20" s="7"/>
      <c r="E20" s="7"/>
      <c r="F20" s="7"/>
      <c r="G20" s="7"/>
      <c r="H20" s="7"/>
      <c r="I20" s="7"/>
      <c r="J20" s="7"/>
      <c r="K20" s="7"/>
      <c r="L20" s="7"/>
      <c r="M20" s="7"/>
      <c r="N20" s="7"/>
      <c r="O20" s="7"/>
      <c r="P20" s="7"/>
      <c r="Q20" s="7"/>
      <c r="R20" s="7"/>
      <c r="S20" s="7"/>
    </row>
    <row r="21" spans="1:19" ht="25.2" customHeight="1" x14ac:dyDescent="0.3">
      <c r="A21" s="7"/>
      <c r="B21" s="7"/>
      <c r="C21" s="7"/>
      <c r="D21" s="7"/>
      <c r="E21" s="7"/>
      <c r="F21" s="7"/>
      <c r="G21" s="7"/>
      <c r="H21" s="7"/>
      <c r="I21" s="7"/>
      <c r="J21" s="7"/>
      <c r="K21" s="7"/>
      <c r="L21" s="7"/>
      <c r="M21" s="7"/>
      <c r="N21" s="7"/>
      <c r="O21" s="7"/>
      <c r="P21" s="7"/>
      <c r="Q21" s="7"/>
      <c r="R21" s="7"/>
      <c r="S21" s="7"/>
    </row>
    <row r="22" spans="1:19" ht="25.2" customHeight="1" x14ac:dyDescent="0.3">
      <c r="A22" s="7"/>
      <c r="B22" s="7"/>
      <c r="C22" s="7"/>
      <c r="D22" s="7"/>
      <c r="E22" s="7"/>
      <c r="F22" s="7"/>
      <c r="G22" s="7"/>
      <c r="H22" s="7"/>
      <c r="I22" s="7"/>
      <c r="J22" s="7"/>
      <c r="K22" s="7"/>
      <c r="L22" s="7"/>
      <c r="M22" s="7"/>
      <c r="N22" s="7"/>
      <c r="O22" s="7"/>
      <c r="P22" s="7"/>
      <c r="Q22" s="7"/>
      <c r="R22" s="7"/>
      <c r="S22" s="7"/>
    </row>
    <row r="23" spans="1:19" ht="25.2" customHeight="1" x14ac:dyDescent="0.3">
      <c r="A23" s="7"/>
      <c r="B23" s="7"/>
      <c r="C23" s="7"/>
      <c r="D23" s="7"/>
      <c r="E23" s="7"/>
      <c r="F23" s="7"/>
      <c r="G23" s="7"/>
      <c r="H23" s="7"/>
      <c r="I23" s="7"/>
      <c r="J23" s="7"/>
      <c r="K23" s="7"/>
      <c r="L23" s="7"/>
      <c r="M23" s="7"/>
      <c r="N23" s="7"/>
      <c r="O23" s="7"/>
      <c r="P23" s="7"/>
      <c r="Q23" s="7"/>
      <c r="R23" s="7"/>
      <c r="S23" s="7"/>
    </row>
    <row r="24" spans="1:19" ht="25.2" customHeight="1" x14ac:dyDescent="0.3">
      <c r="A24" s="7"/>
      <c r="B24" s="7"/>
      <c r="C24" s="7"/>
      <c r="D24" s="7"/>
      <c r="E24" s="7"/>
      <c r="F24" s="7"/>
      <c r="G24" s="7"/>
      <c r="H24" s="7"/>
      <c r="I24" s="7"/>
      <c r="J24" s="7"/>
      <c r="K24" s="7"/>
      <c r="L24" s="7"/>
      <c r="M24" s="7"/>
      <c r="N24" s="7"/>
      <c r="O24" s="7"/>
      <c r="P24" s="7"/>
      <c r="Q24" s="7"/>
      <c r="R24" s="7"/>
      <c r="S24" s="7"/>
    </row>
    <row r="25" spans="1:19" ht="25.2" customHeight="1" x14ac:dyDescent="0.3">
      <c r="A25" s="7"/>
      <c r="B25" s="7"/>
      <c r="C25" s="7"/>
      <c r="D25" s="7"/>
      <c r="E25" s="7"/>
      <c r="F25" s="7"/>
      <c r="G25" s="7"/>
      <c r="H25" s="7"/>
      <c r="I25" s="7"/>
      <c r="J25" s="7"/>
      <c r="K25" s="7"/>
      <c r="L25" s="7"/>
      <c r="M25" s="7"/>
      <c r="N25" s="7"/>
      <c r="O25" s="7"/>
      <c r="P25" s="7"/>
      <c r="Q25" s="7"/>
      <c r="R25" s="7"/>
      <c r="S25" s="7"/>
    </row>
    <row r="26" spans="1:19" ht="25.2" customHeight="1" x14ac:dyDescent="0.3">
      <c r="A26" s="7"/>
      <c r="B26" s="7"/>
      <c r="C26" s="7"/>
      <c r="D26" s="7"/>
      <c r="E26" s="7"/>
      <c r="F26" s="7"/>
      <c r="G26" s="7"/>
      <c r="H26" s="7"/>
      <c r="I26" s="7"/>
      <c r="J26" s="7"/>
      <c r="K26" s="7"/>
      <c r="L26" s="7"/>
      <c r="M26" s="7"/>
      <c r="N26" s="7"/>
      <c r="O26" s="7"/>
      <c r="P26" s="7"/>
      <c r="Q26" s="7"/>
      <c r="R26" s="7"/>
      <c r="S26" s="7"/>
    </row>
    <row r="27" spans="1:19" x14ac:dyDescent="0.3">
      <c r="A27" s="7"/>
      <c r="B27" s="7"/>
      <c r="C27" s="7"/>
      <c r="D27" s="7"/>
      <c r="E27" s="7"/>
      <c r="F27" s="7"/>
      <c r="G27" s="7"/>
      <c r="H27" s="7"/>
      <c r="I27" s="7"/>
      <c r="J27" s="7"/>
      <c r="K27" s="7"/>
      <c r="L27" s="7"/>
      <c r="M27" s="7"/>
      <c r="N27" s="7"/>
      <c r="O27" s="7"/>
      <c r="P27" s="7"/>
      <c r="Q27" s="7"/>
      <c r="R27" s="7"/>
      <c r="S27" s="7"/>
    </row>
    <row r="28" spans="1:19" x14ac:dyDescent="0.3">
      <c r="A28" s="7"/>
      <c r="B28" s="7"/>
      <c r="C28" s="7"/>
      <c r="D28" s="7"/>
      <c r="E28" s="7"/>
      <c r="F28" s="7"/>
      <c r="G28" s="7"/>
      <c r="H28" s="7"/>
      <c r="I28" s="7"/>
      <c r="J28" s="7"/>
      <c r="K28" s="7"/>
      <c r="L28" s="7"/>
      <c r="M28" s="7"/>
      <c r="N28" s="7"/>
      <c r="O28" s="7"/>
      <c r="P28" s="7"/>
      <c r="Q28" s="7"/>
      <c r="R28" s="7"/>
      <c r="S28" s="7"/>
    </row>
    <row r="29" spans="1:19" x14ac:dyDescent="0.3">
      <c r="A29" s="7"/>
      <c r="B29" s="7"/>
      <c r="C29" s="7"/>
      <c r="D29" s="7"/>
      <c r="E29" s="7"/>
      <c r="F29" s="7"/>
      <c r="G29" s="7"/>
      <c r="H29" s="7"/>
      <c r="I29" s="7"/>
      <c r="J29" s="7"/>
      <c r="K29" s="7"/>
      <c r="L29" s="7"/>
      <c r="M29" s="7"/>
      <c r="N29" s="7"/>
      <c r="O29" s="7"/>
      <c r="P29" s="7"/>
      <c r="Q29" s="7"/>
      <c r="R29" s="7"/>
      <c r="S29" s="7"/>
    </row>
    <row r="30" spans="1:19" x14ac:dyDescent="0.3">
      <c r="A30" s="7"/>
      <c r="B30" s="7"/>
      <c r="C30" s="7"/>
      <c r="D30" s="7"/>
      <c r="E30" s="7"/>
      <c r="F30" s="7"/>
      <c r="G30" s="7"/>
      <c r="H30" s="7"/>
      <c r="I30" s="7"/>
      <c r="J30" s="7"/>
      <c r="K30" s="7"/>
      <c r="L30" s="7"/>
      <c r="M30" s="7"/>
      <c r="N30" s="7"/>
      <c r="O30" s="7"/>
      <c r="P30" s="7"/>
      <c r="Q30" s="7"/>
      <c r="R30" s="7"/>
      <c r="S30" s="7"/>
    </row>
    <row r="31" spans="1:19" x14ac:dyDescent="0.3">
      <c r="A31" s="7"/>
      <c r="B31" s="7"/>
      <c r="C31" s="7"/>
      <c r="D31" s="7"/>
      <c r="E31" s="7"/>
      <c r="F31" s="7"/>
      <c r="G31" s="7"/>
      <c r="H31" s="7"/>
      <c r="I31" s="7"/>
      <c r="J31" s="7"/>
      <c r="K31" s="7"/>
      <c r="L31" s="7"/>
      <c r="M31" s="7"/>
      <c r="N31" s="7"/>
      <c r="O31" s="7"/>
      <c r="P31" s="7"/>
      <c r="Q31" s="7"/>
      <c r="R31" s="7"/>
      <c r="S31" s="7"/>
    </row>
    <row r="32" spans="1:19" x14ac:dyDescent="0.3">
      <c r="A32" s="7"/>
      <c r="B32" s="7"/>
      <c r="C32" s="7"/>
      <c r="D32" s="7"/>
      <c r="E32" s="7"/>
      <c r="F32" s="7"/>
      <c r="G32" s="7"/>
      <c r="H32" s="7"/>
      <c r="I32" s="7"/>
      <c r="J32" s="7"/>
      <c r="K32" s="7"/>
      <c r="L32" s="7"/>
      <c r="M32" s="7"/>
      <c r="N32" s="7"/>
      <c r="O32" s="7"/>
      <c r="P32" s="7"/>
      <c r="Q32" s="7"/>
      <c r="R32" s="7"/>
      <c r="S32" s="7"/>
    </row>
    <row r="33" spans="1:19" x14ac:dyDescent="0.3">
      <c r="A33" s="7"/>
      <c r="B33" s="7"/>
      <c r="C33" s="7"/>
      <c r="D33" s="7"/>
      <c r="E33" s="7"/>
      <c r="F33" s="7"/>
      <c r="G33" s="7"/>
      <c r="H33" s="7"/>
      <c r="I33" s="7"/>
      <c r="J33" s="7"/>
      <c r="K33" s="7"/>
      <c r="L33" s="7"/>
      <c r="M33" s="7"/>
      <c r="N33" s="7"/>
      <c r="O33" s="7"/>
      <c r="P33" s="7"/>
      <c r="Q33" s="7"/>
      <c r="R33" s="7"/>
      <c r="S33" s="7"/>
    </row>
    <row r="34" spans="1:19" x14ac:dyDescent="0.3">
      <c r="A34" s="7"/>
      <c r="B34" s="7"/>
      <c r="C34" s="7"/>
      <c r="D34" s="7"/>
      <c r="E34" s="7"/>
      <c r="F34" s="7"/>
      <c r="G34" s="7"/>
      <c r="H34" s="7"/>
      <c r="I34" s="7"/>
      <c r="J34" s="7"/>
      <c r="K34" s="7"/>
      <c r="L34" s="7"/>
      <c r="M34" s="7"/>
      <c r="N34" s="7"/>
      <c r="O34" s="7"/>
      <c r="P34" s="7"/>
      <c r="Q34" s="7"/>
      <c r="R34" s="7"/>
      <c r="S34" s="7"/>
    </row>
    <row r="35" spans="1:19" x14ac:dyDescent="0.3">
      <c r="A35" s="7"/>
      <c r="B35" s="7"/>
      <c r="C35" s="7"/>
      <c r="D35" s="7"/>
      <c r="E35" s="7"/>
      <c r="F35" s="7"/>
      <c r="G35" s="7"/>
      <c r="H35" s="7"/>
      <c r="I35" s="7"/>
      <c r="J35" s="7"/>
      <c r="K35" s="7"/>
      <c r="L35" s="7"/>
      <c r="M35" s="7"/>
      <c r="N35" s="7"/>
      <c r="O35" s="7"/>
      <c r="P35" s="7"/>
      <c r="Q35" s="7"/>
      <c r="R35" s="7"/>
      <c r="S35" s="7"/>
    </row>
    <row r="36" spans="1:19" x14ac:dyDescent="0.3">
      <c r="A36" s="7"/>
      <c r="B36" s="7"/>
      <c r="C36" s="7"/>
      <c r="D36" s="7"/>
      <c r="E36" s="7"/>
      <c r="F36" s="7"/>
      <c r="G36" s="7"/>
      <c r="H36" s="7"/>
      <c r="I36" s="7"/>
      <c r="J36" s="7"/>
      <c r="K36" s="7"/>
      <c r="L36" s="7"/>
      <c r="M36" s="7"/>
      <c r="N36" s="7"/>
      <c r="O36" s="7"/>
      <c r="P36" s="7"/>
      <c r="Q36" s="7"/>
      <c r="R36" s="7"/>
      <c r="S36" s="7"/>
    </row>
    <row r="37" spans="1:19" x14ac:dyDescent="0.3">
      <c r="A37" s="7"/>
      <c r="B37" s="7"/>
      <c r="C37" s="7"/>
      <c r="D37" s="7"/>
      <c r="E37" s="7"/>
      <c r="F37" s="7"/>
      <c r="G37" s="7"/>
      <c r="H37" s="7"/>
      <c r="I37" s="7"/>
      <c r="J37" s="7"/>
      <c r="K37" s="7"/>
      <c r="L37" s="7"/>
      <c r="M37" s="7"/>
      <c r="N37" s="7"/>
      <c r="O37" s="7"/>
      <c r="P37" s="7"/>
      <c r="Q37" s="7"/>
      <c r="R37" s="7"/>
      <c r="S37" s="7"/>
    </row>
    <row r="38" spans="1:19" x14ac:dyDescent="0.3">
      <c r="A38" s="7"/>
      <c r="B38" s="7"/>
      <c r="C38" s="7"/>
      <c r="D38" s="7"/>
      <c r="E38" s="7"/>
      <c r="F38" s="7"/>
      <c r="G38" s="7"/>
      <c r="H38" s="7"/>
      <c r="I38" s="7"/>
      <c r="J38" s="7"/>
      <c r="K38" s="7"/>
      <c r="L38" s="7"/>
      <c r="M38" s="7"/>
      <c r="N38" s="7"/>
      <c r="O38" s="7"/>
      <c r="P38" s="7"/>
      <c r="Q38" s="7"/>
      <c r="R38" s="7"/>
      <c r="S38" s="7"/>
    </row>
    <row r="39" spans="1:19" x14ac:dyDescent="0.3">
      <c r="A39" s="7"/>
      <c r="B39" s="7"/>
      <c r="C39" s="7"/>
      <c r="D39" s="7"/>
      <c r="E39" s="7"/>
      <c r="F39" s="7"/>
      <c r="G39" s="7"/>
      <c r="H39" s="7"/>
      <c r="I39" s="7"/>
      <c r="J39" s="7"/>
      <c r="K39" s="7"/>
      <c r="L39" s="7"/>
      <c r="M39" s="7"/>
      <c r="N39" s="7"/>
      <c r="O39" s="7"/>
      <c r="P39" s="7"/>
      <c r="Q39" s="7"/>
      <c r="R39" s="7"/>
      <c r="S39" s="7"/>
    </row>
    <row r="40" spans="1:19" x14ac:dyDescent="0.3">
      <c r="A40" s="7"/>
      <c r="B40" s="7"/>
      <c r="C40" s="7"/>
      <c r="D40" s="7"/>
      <c r="E40" s="7"/>
      <c r="F40" s="7"/>
      <c r="G40" s="7"/>
      <c r="H40" s="7"/>
      <c r="I40" s="7"/>
      <c r="J40" s="7"/>
      <c r="K40" s="7"/>
      <c r="L40" s="7"/>
      <c r="M40" s="7"/>
      <c r="N40" s="7"/>
      <c r="O40" s="7"/>
      <c r="P40" s="7"/>
      <c r="Q40" s="7"/>
      <c r="R40" s="7"/>
      <c r="S40" s="7"/>
    </row>
    <row r="41" spans="1:19" x14ac:dyDescent="0.3">
      <c r="A41" s="7"/>
      <c r="B41" s="7"/>
      <c r="C41" s="7"/>
      <c r="D41" s="7"/>
      <c r="E41" s="7"/>
      <c r="F41" s="7"/>
      <c r="G41" s="7"/>
      <c r="H41" s="7"/>
      <c r="I41" s="7"/>
      <c r="J41" s="7"/>
      <c r="K41" s="7"/>
      <c r="L41" s="7"/>
      <c r="M41" s="7"/>
      <c r="N41" s="7"/>
      <c r="O41" s="7"/>
      <c r="P41" s="7"/>
      <c r="Q41" s="7"/>
      <c r="R41" s="7"/>
      <c r="S41" s="7"/>
    </row>
    <row r="42" spans="1:19" x14ac:dyDescent="0.3">
      <c r="A42" s="7"/>
      <c r="B42" s="7"/>
      <c r="C42" s="7"/>
      <c r="D42" s="7"/>
      <c r="E42" s="7"/>
      <c r="F42" s="7"/>
      <c r="G42" s="7"/>
      <c r="H42" s="7"/>
      <c r="I42" s="7"/>
      <c r="J42" s="7"/>
      <c r="K42" s="7"/>
      <c r="L42" s="7"/>
      <c r="M42" s="7"/>
      <c r="N42" s="7"/>
      <c r="O42" s="7"/>
      <c r="P42" s="7"/>
      <c r="Q42" s="7"/>
      <c r="R42" s="7"/>
      <c r="S42" s="7"/>
    </row>
    <row r="43" spans="1:19" x14ac:dyDescent="0.3">
      <c r="A43" s="7"/>
      <c r="B43" s="7"/>
      <c r="C43" s="7"/>
      <c r="D43" s="7"/>
      <c r="E43" s="7"/>
      <c r="F43" s="7"/>
      <c r="G43" s="7"/>
      <c r="H43" s="7"/>
      <c r="I43" s="7"/>
      <c r="J43" s="7"/>
      <c r="K43" s="7"/>
      <c r="L43" s="7"/>
      <c r="M43" s="7"/>
      <c r="N43" s="7"/>
      <c r="O43" s="7"/>
      <c r="P43" s="7"/>
      <c r="Q43" s="7"/>
      <c r="R43" s="7"/>
      <c r="S43" s="7"/>
    </row>
    <row r="44" spans="1:19" x14ac:dyDescent="0.3">
      <c r="A44" s="7"/>
      <c r="B44" s="7"/>
      <c r="C44" s="7"/>
      <c r="D44" s="7"/>
      <c r="E44" s="7"/>
      <c r="F44" s="7"/>
      <c r="G44" s="7"/>
      <c r="H44" s="7"/>
      <c r="I44" s="7"/>
      <c r="J44" s="7"/>
      <c r="K44" s="7"/>
      <c r="L44" s="7"/>
      <c r="M44" s="7"/>
      <c r="N44" s="7"/>
      <c r="O44" s="7"/>
      <c r="P44" s="7"/>
      <c r="Q44" s="7"/>
      <c r="R44" s="7"/>
      <c r="S44" s="7"/>
    </row>
    <row r="45" spans="1:19" x14ac:dyDescent="0.3">
      <c r="A45" s="7"/>
      <c r="B45" s="7"/>
      <c r="C45" s="7"/>
      <c r="D45" s="7"/>
      <c r="E45" s="7"/>
      <c r="F45" s="7"/>
      <c r="G45" s="7"/>
      <c r="H45" s="7"/>
      <c r="I45" s="7"/>
      <c r="J45" s="7"/>
      <c r="K45" s="7"/>
      <c r="L45" s="7"/>
      <c r="M45" s="7"/>
      <c r="N45" s="7"/>
      <c r="O45" s="7"/>
      <c r="P45" s="7"/>
      <c r="Q45" s="7"/>
      <c r="R45" s="7"/>
      <c r="S45" s="7"/>
    </row>
    <row r="46" spans="1:19" x14ac:dyDescent="0.3">
      <c r="A46" s="7"/>
      <c r="B46" s="7"/>
      <c r="C46" s="7"/>
      <c r="D46" s="7"/>
      <c r="E46" s="7"/>
      <c r="F46" s="7"/>
      <c r="G46" s="7"/>
      <c r="H46" s="7"/>
      <c r="I46" s="7"/>
      <c r="J46" s="7"/>
      <c r="K46" s="7"/>
      <c r="L46" s="7"/>
      <c r="M46" s="7"/>
      <c r="N46" s="7"/>
      <c r="O46" s="7"/>
      <c r="P46" s="7"/>
      <c r="Q46" s="7"/>
      <c r="R46" s="7"/>
      <c r="S46" s="7"/>
    </row>
    <row r="47" spans="1:19" x14ac:dyDescent="0.3">
      <c r="A47" s="7"/>
      <c r="B47" s="7"/>
      <c r="C47" s="7"/>
      <c r="D47" s="7"/>
      <c r="E47" s="7"/>
      <c r="F47" s="7"/>
      <c r="G47" s="7"/>
      <c r="H47" s="7"/>
      <c r="I47" s="7"/>
      <c r="J47" s="7"/>
      <c r="K47" s="7"/>
      <c r="L47" s="7"/>
      <c r="M47" s="7"/>
      <c r="N47" s="7"/>
      <c r="O47" s="7"/>
      <c r="P47" s="7"/>
      <c r="Q47" s="7"/>
      <c r="R47" s="7"/>
      <c r="S47" s="7"/>
    </row>
    <row r="48" spans="1:19" x14ac:dyDescent="0.3">
      <c r="A48" s="7"/>
      <c r="B48" s="7"/>
      <c r="C48" s="7"/>
      <c r="D48" s="7"/>
      <c r="E48" s="7"/>
      <c r="F48" s="7"/>
      <c r="G48" s="7"/>
      <c r="H48" s="7"/>
      <c r="I48" s="7"/>
      <c r="J48" s="7"/>
      <c r="K48" s="7"/>
      <c r="L48" s="7"/>
      <c r="M48" s="7"/>
      <c r="N48" s="7"/>
      <c r="O48" s="7"/>
      <c r="P48" s="7"/>
      <c r="Q48" s="7"/>
      <c r="R48" s="7"/>
      <c r="S48" s="7"/>
    </row>
    <row r="49" spans="1:19" x14ac:dyDescent="0.3">
      <c r="A49" s="7"/>
      <c r="B49" s="7"/>
      <c r="C49" s="7"/>
      <c r="D49" s="7"/>
      <c r="E49" s="7"/>
      <c r="F49" s="7"/>
      <c r="G49" s="7"/>
      <c r="H49" s="7"/>
      <c r="I49" s="7"/>
      <c r="J49" s="7"/>
      <c r="K49" s="7"/>
      <c r="L49" s="7"/>
      <c r="M49" s="7"/>
      <c r="N49" s="7"/>
      <c r="O49" s="7"/>
      <c r="P49" s="7"/>
      <c r="Q49" s="7"/>
      <c r="R49" s="7"/>
      <c r="S49" s="7"/>
    </row>
    <row r="50" spans="1:19" x14ac:dyDescent="0.3">
      <c r="A50" s="7"/>
      <c r="B50" s="7"/>
      <c r="C50" s="7"/>
      <c r="D50" s="7"/>
      <c r="E50" s="7"/>
      <c r="F50" s="7"/>
      <c r="G50" s="7"/>
      <c r="H50" s="7"/>
      <c r="I50" s="7"/>
      <c r="J50" s="7"/>
      <c r="K50" s="7"/>
      <c r="L50" s="7"/>
      <c r="M50" s="7"/>
      <c r="N50" s="7"/>
      <c r="O50" s="7"/>
      <c r="P50" s="7"/>
      <c r="Q50" s="7"/>
      <c r="R50" s="7"/>
      <c r="S50" s="7"/>
    </row>
    <row r="51" spans="1:19" x14ac:dyDescent="0.3">
      <c r="A51" s="7"/>
      <c r="B51" s="7"/>
      <c r="C51" s="7"/>
      <c r="D51" s="7"/>
      <c r="E51" s="7"/>
      <c r="F51" s="7"/>
      <c r="G51" s="7"/>
      <c r="H51" s="7"/>
      <c r="I51" s="7"/>
      <c r="J51" s="7"/>
      <c r="K51" s="7"/>
      <c r="L51" s="7"/>
      <c r="M51" s="7"/>
      <c r="N51" s="7"/>
      <c r="O51" s="7"/>
      <c r="P51" s="7"/>
      <c r="Q51" s="7"/>
      <c r="R51" s="7"/>
      <c r="S51" s="7"/>
    </row>
    <row r="52" spans="1:19" x14ac:dyDescent="0.3">
      <c r="A52" s="7"/>
      <c r="B52" s="7"/>
      <c r="C52" s="7"/>
      <c r="D52" s="7"/>
      <c r="E52" s="7"/>
      <c r="F52" s="7"/>
      <c r="G52" s="7"/>
      <c r="H52" s="7"/>
      <c r="I52" s="7"/>
      <c r="J52" s="7"/>
      <c r="K52" s="7"/>
      <c r="L52" s="7"/>
      <c r="M52" s="7"/>
      <c r="N52" s="7"/>
      <c r="O52" s="7"/>
      <c r="P52" s="7"/>
      <c r="Q52" s="7"/>
      <c r="R52" s="7"/>
      <c r="S52" s="7"/>
    </row>
    <row r="53" spans="1:19" x14ac:dyDescent="0.3">
      <c r="A53" s="7"/>
      <c r="B53" s="7"/>
      <c r="C53" s="7"/>
      <c r="D53" s="7"/>
      <c r="E53" s="7"/>
      <c r="F53" s="7"/>
      <c r="G53" s="7"/>
      <c r="H53" s="7"/>
      <c r="I53" s="7"/>
      <c r="J53" s="7"/>
      <c r="K53" s="7"/>
      <c r="L53" s="7"/>
      <c r="M53" s="7"/>
      <c r="N53" s="7"/>
      <c r="O53" s="7"/>
      <c r="P53" s="7"/>
      <c r="Q53" s="7"/>
      <c r="R53" s="7"/>
      <c r="S53" s="7"/>
    </row>
    <row r="54" spans="1:19" x14ac:dyDescent="0.3">
      <c r="A54" s="7"/>
      <c r="B54" s="7"/>
      <c r="C54" s="7"/>
      <c r="D54" s="7"/>
      <c r="E54" s="7"/>
      <c r="F54" s="7"/>
      <c r="G54" s="7"/>
      <c r="H54" s="7"/>
      <c r="I54" s="7"/>
      <c r="J54" s="7"/>
      <c r="K54" s="7"/>
      <c r="L54" s="7"/>
      <c r="M54" s="7"/>
      <c r="N54" s="7"/>
      <c r="O54" s="7"/>
      <c r="P54" s="7"/>
      <c r="Q54" s="7"/>
      <c r="R54" s="7"/>
      <c r="S54" s="7"/>
    </row>
    <row r="55" spans="1:19" x14ac:dyDescent="0.3">
      <c r="A55" s="7"/>
      <c r="B55" s="7"/>
      <c r="C55" s="7"/>
      <c r="D55" s="7"/>
      <c r="E55" s="7"/>
      <c r="F55" s="7"/>
      <c r="G55" s="7"/>
      <c r="H55" s="7"/>
      <c r="I55" s="7"/>
      <c r="J55" s="7"/>
      <c r="K55" s="7"/>
      <c r="L55" s="7"/>
      <c r="M55" s="7"/>
      <c r="N55" s="7"/>
      <c r="O55" s="7"/>
      <c r="P55" s="7"/>
      <c r="Q55" s="7"/>
      <c r="R55" s="7"/>
      <c r="S55" s="7"/>
    </row>
    <row r="56" spans="1:19" x14ac:dyDescent="0.3">
      <c r="A56" s="7"/>
      <c r="B56" s="7"/>
      <c r="C56" s="7"/>
      <c r="D56" s="7"/>
      <c r="E56" s="7"/>
      <c r="F56" s="7"/>
      <c r="G56" s="7"/>
      <c r="H56" s="7"/>
      <c r="I56" s="7"/>
      <c r="J56" s="7"/>
      <c r="K56" s="7"/>
      <c r="L56" s="7"/>
      <c r="M56" s="7"/>
      <c r="N56" s="7"/>
      <c r="O56" s="7"/>
      <c r="P56" s="7"/>
      <c r="Q56" s="7"/>
      <c r="R56" s="7"/>
      <c r="S56" s="7"/>
    </row>
    <row r="57" spans="1:19" x14ac:dyDescent="0.3">
      <c r="A57" s="7"/>
      <c r="B57" s="7"/>
      <c r="C57" s="7"/>
      <c r="D57" s="7"/>
      <c r="E57" s="7"/>
      <c r="F57" s="7"/>
      <c r="G57" s="7"/>
      <c r="H57" s="7"/>
      <c r="I57" s="7"/>
      <c r="J57" s="7"/>
      <c r="K57" s="7"/>
      <c r="L57" s="7"/>
      <c r="M57" s="7"/>
      <c r="N57" s="7"/>
      <c r="O57" s="7"/>
      <c r="P57" s="7"/>
      <c r="Q57" s="7"/>
      <c r="R57" s="7"/>
      <c r="S57" s="7"/>
    </row>
    <row r="58" spans="1:19" x14ac:dyDescent="0.3">
      <c r="A58" s="7"/>
      <c r="B58" s="7"/>
      <c r="C58" s="7"/>
      <c r="D58" s="7"/>
      <c r="E58" s="7"/>
      <c r="F58" s="7"/>
      <c r="G58" s="7"/>
      <c r="H58" s="7"/>
      <c r="I58" s="7"/>
      <c r="J58" s="7"/>
      <c r="K58" s="7"/>
      <c r="L58" s="7"/>
      <c r="M58" s="7"/>
      <c r="N58" s="7"/>
      <c r="O58" s="7"/>
      <c r="P58" s="7"/>
      <c r="Q58" s="7"/>
      <c r="R58" s="7"/>
      <c r="S58" s="7"/>
    </row>
    <row r="59" spans="1:19" x14ac:dyDescent="0.3">
      <c r="A59" s="7"/>
      <c r="B59" s="7"/>
      <c r="C59" s="7"/>
      <c r="D59" s="7"/>
      <c r="E59" s="7"/>
      <c r="F59" s="7"/>
      <c r="G59" s="7"/>
      <c r="H59" s="7"/>
      <c r="I59" s="7"/>
      <c r="J59" s="7"/>
      <c r="K59" s="7"/>
      <c r="L59" s="7"/>
      <c r="M59" s="7"/>
      <c r="N59" s="7"/>
      <c r="O59" s="7"/>
      <c r="P59" s="7"/>
      <c r="Q59" s="7"/>
      <c r="R59" s="7"/>
      <c r="S59" s="7"/>
    </row>
    <row r="60" spans="1:19" x14ac:dyDescent="0.3">
      <c r="A60" s="7"/>
      <c r="B60" s="7"/>
      <c r="C60" s="7"/>
      <c r="D60" s="7"/>
      <c r="E60" s="7"/>
      <c r="F60" s="7"/>
      <c r="G60" s="7"/>
      <c r="H60" s="7"/>
      <c r="I60" s="7"/>
      <c r="J60" s="7"/>
      <c r="K60" s="7"/>
      <c r="L60" s="7"/>
      <c r="M60" s="7"/>
      <c r="N60" s="7"/>
      <c r="O60" s="7"/>
      <c r="P60" s="7"/>
      <c r="Q60" s="7"/>
      <c r="R60" s="7"/>
      <c r="S60" s="7"/>
    </row>
    <row r="61" spans="1:19" x14ac:dyDescent="0.3">
      <c r="A61" s="7"/>
      <c r="B61" s="7"/>
      <c r="C61" s="7"/>
      <c r="D61" s="7"/>
      <c r="E61" s="7"/>
      <c r="F61" s="7"/>
      <c r="G61" s="7"/>
      <c r="H61" s="7"/>
      <c r="I61" s="7"/>
      <c r="J61" s="7"/>
      <c r="K61" s="7"/>
      <c r="L61" s="7"/>
      <c r="M61" s="7"/>
      <c r="N61" s="7"/>
      <c r="O61" s="7"/>
      <c r="P61" s="7"/>
      <c r="Q61" s="7"/>
      <c r="R61" s="7"/>
      <c r="S61" s="7"/>
    </row>
    <row r="62" spans="1:19" x14ac:dyDescent="0.3">
      <c r="A62" s="7"/>
      <c r="B62" s="7"/>
      <c r="C62" s="7"/>
      <c r="D62" s="7"/>
      <c r="E62" s="7"/>
      <c r="F62" s="7"/>
      <c r="G62" s="7"/>
      <c r="H62" s="7"/>
      <c r="I62" s="7"/>
      <c r="J62" s="7"/>
      <c r="K62" s="7"/>
      <c r="L62" s="7"/>
      <c r="M62" s="7"/>
      <c r="N62" s="7"/>
      <c r="O62" s="7"/>
      <c r="P62" s="7"/>
      <c r="Q62" s="7"/>
      <c r="R62" s="7"/>
      <c r="S62" s="7"/>
    </row>
    <row r="63" spans="1:19" x14ac:dyDescent="0.3">
      <c r="A63" s="7"/>
      <c r="B63" s="7"/>
      <c r="C63" s="7"/>
      <c r="D63" s="7"/>
      <c r="E63" s="7"/>
      <c r="F63" s="7"/>
      <c r="G63" s="7"/>
      <c r="H63" s="7"/>
      <c r="I63" s="7"/>
      <c r="J63" s="7"/>
      <c r="K63" s="7"/>
      <c r="L63" s="7"/>
      <c r="M63" s="7"/>
      <c r="N63" s="7"/>
      <c r="O63" s="7"/>
      <c r="P63" s="7"/>
      <c r="Q63" s="7"/>
      <c r="R63" s="7"/>
      <c r="S63" s="7"/>
    </row>
    <row r="64" spans="1:19" x14ac:dyDescent="0.3">
      <c r="A64" s="7"/>
      <c r="B64" s="7"/>
      <c r="C64" s="7"/>
      <c r="D64" s="7"/>
      <c r="E64" s="7"/>
      <c r="F64" s="7"/>
      <c r="G64" s="7"/>
      <c r="H64" s="7"/>
      <c r="I64" s="7"/>
      <c r="J64" s="7"/>
      <c r="K64" s="7"/>
      <c r="L64" s="7"/>
      <c r="M64" s="7"/>
      <c r="N64" s="7"/>
      <c r="O64" s="7"/>
      <c r="P64" s="7"/>
      <c r="Q64" s="7"/>
      <c r="R64" s="7"/>
      <c r="S64" s="7"/>
    </row>
    <row r="65" spans="1:19" x14ac:dyDescent="0.3">
      <c r="A65" s="7"/>
      <c r="B65" s="7"/>
      <c r="C65" s="7"/>
      <c r="D65" s="7"/>
      <c r="E65" s="7"/>
      <c r="F65" s="7"/>
      <c r="G65" s="7"/>
      <c r="H65" s="7"/>
      <c r="I65" s="7"/>
      <c r="J65" s="7"/>
      <c r="K65" s="7"/>
      <c r="L65" s="7"/>
      <c r="M65" s="7"/>
      <c r="N65" s="7"/>
      <c r="O65" s="7"/>
      <c r="P65" s="7"/>
      <c r="Q65" s="7"/>
      <c r="R65" s="7"/>
      <c r="S65" s="7"/>
    </row>
    <row r="66" spans="1:19" x14ac:dyDescent="0.3">
      <c r="A66" s="7"/>
      <c r="B66" s="7"/>
      <c r="C66" s="7"/>
      <c r="D66" s="7"/>
      <c r="E66" s="7"/>
      <c r="F66" s="7"/>
      <c r="G66" s="7"/>
      <c r="H66" s="7"/>
      <c r="I66" s="7"/>
      <c r="J66" s="7"/>
      <c r="K66" s="7"/>
      <c r="L66" s="7"/>
      <c r="M66" s="7"/>
      <c r="N66" s="7"/>
      <c r="O66" s="7"/>
      <c r="P66" s="7"/>
    </row>
    <row r="67" spans="1:19" x14ac:dyDescent="0.3">
      <c r="A67" s="7"/>
      <c r="B67" s="7"/>
      <c r="C67" s="7"/>
      <c r="D67" s="7"/>
      <c r="E67" s="7"/>
      <c r="F67" s="7"/>
      <c r="G67" s="7"/>
      <c r="H67" s="7"/>
      <c r="I67" s="7"/>
      <c r="J67" s="7"/>
      <c r="K67" s="7"/>
      <c r="L67" s="7"/>
      <c r="M67" s="7"/>
      <c r="N67" s="7"/>
      <c r="O67" s="7"/>
      <c r="P67" s="7"/>
    </row>
    <row r="68" spans="1:19" x14ac:dyDescent="0.3">
      <c r="A68" s="7"/>
      <c r="B68" s="7"/>
      <c r="C68" s="7"/>
      <c r="D68" s="7"/>
      <c r="E68" s="7"/>
      <c r="F68" s="7"/>
      <c r="G68" s="7"/>
      <c r="H68" s="7"/>
      <c r="I68" s="7"/>
      <c r="J68" s="7"/>
      <c r="K68" s="7"/>
      <c r="L68" s="7"/>
      <c r="M68" s="7"/>
      <c r="N68" s="7"/>
      <c r="O68" s="7"/>
      <c r="P68" s="7"/>
    </row>
    <row r="69" spans="1:19" x14ac:dyDescent="0.3">
      <c r="A69" s="7"/>
      <c r="B69" s="7"/>
      <c r="C69" s="7"/>
      <c r="D69" s="7"/>
      <c r="E69" s="7"/>
      <c r="F69" s="7"/>
      <c r="G69" s="7"/>
      <c r="H69" s="7"/>
      <c r="I69" s="7"/>
      <c r="J69" s="7"/>
      <c r="K69" s="7"/>
      <c r="L69" s="7"/>
      <c r="M69" s="7"/>
      <c r="N69" s="7"/>
      <c r="O69" s="7"/>
      <c r="P69" s="7"/>
    </row>
    <row r="70" spans="1:19" x14ac:dyDescent="0.3">
      <c r="A70" s="7"/>
      <c r="B70" s="7"/>
      <c r="C70" s="7"/>
      <c r="D70" s="7"/>
      <c r="E70" s="7"/>
      <c r="F70" s="7"/>
      <c r="G70" s="7"/>
      <c r="H70" s="7"/>
      <c r="I70" s="7"/>
      <c r="J70" s="7"/>
      <c r="K70" s="7"/>
      <c r="L70" s="7"/>
      <c r="M70" s="7"/>
      <c r="N70" s="7"/>
      <c r="O70" s="7"/>
      <c r="P70" s="7"/>
    </row>
    <row r="71" spans="1:19" x14ac:dyDescent="0.3">
      <c r="A71" s="7"/>
      <c r="B71" s="7"/>
      <c r="C71" s="7"/>
      <c r="D71" s="7"/>
      <c r="E71" s="7"/>
      <c r="F71" s="7"/>
      <c r="G71" s="7"/>
      <c r="H71" s="7"/>
      <c r="I71" s="7"/>
      <c r="J71" s="7"/>
      <c r="K71" s="7"/>
      <c r="L71" s="7"/>
      <c r="M71" s="7"/>
      <c r="N71" s="7"/>
      <c r="O71" s="7"/>
      <c r="P71" s="7"/>
    </row>
    <row r="72" spans="1:19" x14ac:dyDescent="0.3">
      <c r="A72" s="7"/>
      <c r="B72" s="7"/>
      <c r="C72" s="7"/>
      <c r="D72" s="7"/>
      <c r="E72" s="7"/>
      <c r="F72" s="7"/>
      <c r="G72" s="7"/>
      <c r="H72" s="7"/>
      <c r="I72" s="7"/>
      <c r="J72" s="7"/>
      <c r="K72" s="7"/>
      <c r="L72" s="7"/>
      <c r="M72" s="7"/>
      <c r="N72" s="7"/>
      <c r="O72" s="7"/>
      <c r="P72" s="7"/>
    </row>
    <row r="73" spans="1:19" x14ac:dyDescent="0.3">
      <c r="A73" s="7"/>
      <c r="B73" s="7"/>
      <c r="C73" s="7"/>
      <c r="D73" s="7"/>
      <c r="E73" s="7"/>
      <c r="F73" s="7"/>
      <c r="G73" s="7"/>
      <c r="H73" s="7"/>
      <c r="I73" s="7"/>
      <c r="J73" s="7"/>
      <c r="K73" s="7"/>
      <c r="L73" s="7"/>
      <c r="M73" s="7"/>
      <c r="N73" s="7"/>
      <c r="O73" s="7"/>
      <c r="P73" s="7"/>
    </row>
    <row r="74" spans="1:19" x14ac:dyDescent="0.3">
      <c r="A74" s="7"/>
      <c r="B74" s="7"/>
      <c r="C74" s="7"/>
      <c r="D74" s="7"/>
      <c r="E74" s="7"/>
      <c r="F74" s="7"/>
      <c r="G74" s="7"/>
      <c r="H74" s="7"/>
      <c r="I74" s="7"/>
      <c r="J74" s="7"/>
      <c r="K74" s="7"/>
      <c r="L74" s="7"/>
      <c r="M74" s="7"/>
      <c r="N74" s="7"/>
      <c r="O74" s="7"/>
      <c r="P74" s="7"/>
    </row>
    <row r="75" spans="1:19" x14ac:dyDescent="0.3">
      <c r="A75" s="7"/>
      <c r="B75" s="7"/>
      <c r="C75" s="7"/>
      <c r="D75" s="7"/>
      <c r="E75" s="7"/>
      <c r="F75" s="7"/>
      <c r="G75" s="7"/>
      <c r="H75" s="7"/>
      <c r="I75" s="7"/>
      <c r="J75" s="7"/>
      <c r="K75" s="7"/>
      <c r="L75" s="7"/>
      <c r="M75" s="7"/>
      <c r="N75" s="7"/>
      <c r="O75" s="7"/>
      <c r="P75" s="7"/>
    </row>
    <row r="76" spans="1:19" x14ac:dyDescent="0.3">
      <c r="A76" s="7"/>
      <c r="B76" s="7"/>
      <c r="C76" s="7"/>
      <c r="D76" s="7"/>
      <c r="E76" s="7"/>
      <c r="F76" s="7"/>
      <c r="G76" s="7"/>
      <c r="H76" s="7"/>
      <c r="I76" s="7"/>
      <c r="J76" s="7"/>
      <c r="K76" s="7"/>
      <c r="L76" s="7"/>
      <c r="M76" s="7"/>
      <c r="N76" s="7"/>
      <c r="O76" s="7"/>
      <c r="P76" s="7"/>
    </row>
    <row r="77" spans="1:19" x14ac:dyDescent="0.3">
      <c r="A77" s="7"/>
      <c r="B77" s="7"/>
      <c r="C77" s="7"/>
      <c r="D77" s="7"/>
      <c r="E77" s="7"/>
      <c r="F77" s="7"/>
      <c r="G77" s="7"/>
      <c r="H77" s="7"/>
      <c r="I77" s="7"/>
      <c r="J77" s="7"/>
      <c r="K77" s="7"/>
      <c r="L77" s="7"/>
      <c r="M77" s="7"/>
      <c r="N77" s="7"/>
      <c r="O77" s="7"/>
      <c r="P77" s="7"/>
    </row>
    <row r="78" spans="1:19" x14ac:dyDescent="0.3">
      <c r="A78" s="7"/>
      <c r="B78" s="7"/>
      <c r="C78" s="7"/>
      <c r="D78" s="7"/>
      <c r="E78" s="7"/>
      <c r="F78" s="7"/>
      <c r="G78" s="7"/>
      <c r="H78" s="7"/>
      <c r="I78" s="7"/>
      <c r="J78" s="7"/>
      <c r="K78" s="7"/>
      <c r="L78" s="7"/>
      <c r="M78" s="7"/>
      <c r="N78" s="7"/>
      <c r="O78" s="7"/>
      <c r="P78" s="7"/>
    </row>
    <row r="79" spans="1:19" x14ac:dyDescent="0.3">
      <c r="A79" s="7"/>
      <c r="B79" s="7"/>
      <c r="C79" s="7"/>
      <c r="D79" s="7"/>
      <c r="E79" s="7"/>
      <c r="F79" s="7"/>
      <c r="G79" s="7"/>
      <c r="H79" s="7"/>
      <c r="I79" s="7"/>
      <c r="J79" s="7"/>
      <c r="K79" s="7"/>
      <c r="L79" s="7"/>
      <c r="M79" s="7"/>
      <c r="N79" s="7"/>
      <c r="O79" s="7"/>
      <c r="P79" s="7"/>
    </row>
    <row r="80" spans="1:19" x14ac:dyDescent="0.3">
      <c r="A80" s="7"/>
      <c r="B80" s="7"/>
      <c r="C80" s="7"/>
      <c r="D80" s="7"/>
      <c r="E80" s="7"/>
      <c r="F80" s="7"/>
      <c r="G80" s="7"/>
      <c r="H80" s="7"/>
      <c r="I80" s="7"/>
      <c r="J80" s="7"/>
      <c r="K80" s="7"/>
      <c r="L80" s="7"/>
      <c r="M80" s="7"/>
      <c r="N80" s="7"/>
      <c r="O80" s="7"/>
      <c r="P80" s="7"/>
    </row>
    <row r="81" spans="1:16" x14ac:dyDescent="0.3">
      <c r="A81" s="7"/>
      <c r="B81" s="7"/>
      <c r="C81" s="7"/>
      <c r="D81" s="7"/>
      <c r="E81" s="7"/>
      <c r="F81" s="7"/>
      <c r="G81" s="7"/>
      <c r="H81" s="7"/>
      <c r="I81" s="7"/>
      <c r="J81" s="7"/>
      <c r="K81" s="7"/>
      <c r="L81" s="7"/>
      <c r="M81" s="7"/>
      <c r="N81" s="7"/>
      <c r="O81" s="7"/>
      <c r="P81" s="7"/>
    </row>
    <row r="82" spans="1:16" x14ac:dyDescent="0.3">
      <c r="A82" s="7"/>
      <c r="B82" s="7"/>
      <c r="C82" s="7"/>
      <c r="D82" s="7"/>
      <c r="E82" s="7"/>
      <c r="F82" s="7"/>
      <c r="G82" s="7"/>
      <c r="H82" s="7"/>
      <c r="I82" s="7"/>
      <c r="J82" s="7"/>
      <c r="K82" s="7"/>
      <c r="L82" s="7"/>
      <c r="M82" s="7"/>
      <c r="N82" s="7"/>
      <c r="O82" s="7"/>
      <c r="P82" s="7"/>
    </row>
    <row r="83" spans="1:16" x14ac:dyDescent="0.3">
      <c r="A83" s="7"/>
      <c r="B83" s="7"/>
      <c r="C83" s="7"/>
      <c r="D83" s="7"/>
      <c r="E83" s="7"/>
      <c r="F83" s="7"/>
      <c r="G83" s="7"/>
      <c r="H83" s="7"/>
      <c r="I83" s="7"/>
      <c r="J83" s="7"/>
      <c r="K83" s="7"/>
      <c r="L83" s="7"/>
      <c r="M83" s="7"/>
      <c r="N83" s="7"/>
      <c r="O83" s="7"/>
      <c r="P83" s="7"/>
    </row>
    <row r="84" spans="1:16" x14ac:dyDescent="0.3">
      <c r="A84" s="7"/>
      <c r="B84" s="7"/>
      <c r="C84" s="7"/>
      <c r="D84" s="7"/>
      <c r="E84" s="7"/>
      <c r="F84" s="7"/>
      <c r="G84" s="7"/>
      <c r="H84" s="7"/>
      <c r="I84" s="7"/>
      <c r="J84" s="7"/>
      <c r="K84" s="7"/>
      <c r="L84" s="7"/>
      <c r="M84" s="7"/>
      <c r="N84" s="7"/>
      <c r="O84" s="7"/>
      <c r="P84" s="7"/>
    </row>
    <row r="85" spans="1:16" x14ac:dyDescent="0.3">
      <c r="A85" s="7"/>
      <c r="B85" s="7"/>
      <c r="C85" s="7"/>
      <c r="D85" s="7"/>
      <c r="E85" s="7"/>
      <c r="F85" s="7"/>
      <c r="G85" s="7"/>
      <c r="H85" s="7"/>
      <c r="I85" s="7"/>
      <c r="J85" s="7"/>
      <c r="K85" s="7"/>
      <c r="L85" s="7"/>
      <c r="M85" s="7"/>
      <c r="N85" s="7"/>
      <c r="O85" s="7"/>
      <c r="P85" s="7"/>
    </row>
    <row r="86" spans="1:16" x14ac:dyDescent="0.3">
      <c r="A86" s="7"/>
      <c r="B86" s="7"/>
      <c r="C86" s="7"/>
      <c r="D86" s="7"/>
      <c r="E86" s="7"/>
      <c r="F86" s="7"/>
      <c r="G86" s="7"/>
      <c r="H86" s="7"/>
      <c r="I86" s="7"/>
      <c r="J86" s="7"/>
      <c r="K86" s="7"/>
      <c r="L86" s="7"/>
      <c r="M86" s="7"/>
      <c r="N86" s="7"/>
      <c r="O86" s="7"/>
      <c r="P86" s="7"/>
    </row>
    <row r="87" spans="1:16" x14ac:dyDescent="0.3">
      <c r="A87" s="7"/>
      <c r="B87" s="7"/>
      <c r="C87" s="7"/>
      <c r="D87" s="7"/>
      <c r="E87" s="7"/>
      <c r="F87" s="7"/>
      <c r="G87" s="7"/>
      <c r="H87" s="7"/>
      <c r="I87" s="7"/>
      <c r="J87" s="7"/>
      <c r="K87" s="7"/>
      <c r="L87" s="7"/>
      <c r="M87" s="7"/>
      <c r="N87" s="7"/>
      <c r="O87" s="7"/>
      <c r="P87" s="7"/>
    </row>
    <row r="88" spans="1:16" x14ac:dyDescent="0.3">
      <c r="A88" s="7"/>
      <c r="B88" s="7"/>
      <c r="C88" s="7"/>
      <c r="D88" s="7"/>
      <c r="E88" s="7"/>
      <c r="F88" s="7"/>
      <c r="G88" s="7"/>
      <c r="H88" s="7"/>
      <c r="I88" s="7"/>
      <c r="J88" s="7"/>
      <c r="K88" s="7"/>
      <c r="L88" s="7"/>
      <c r="M88" s="7"/>
      <c r="N88" s="7"/>
      <c r="O88" s="7"/>
      <c r="P88" s="7"/>
    </row>
    <row r="89" spans="1:16" x14ac:dyDescent="0.3">
      <c r="A89" s="7"/>
      <c r="B89" s="7"/>
      <c r="C89" s="7"/>
      <c r="D89" s="7"/>
      <c r="E89" s="7"/>
      <c r="F89" s="7"/>
      <c r="G89" s="7"/>
      <c r="H89" s="7"/>
      <c r="I89" s="7"/>
      <c r="J89" s="7"/>
      <c r="K89" s="7"/>
      <c r="L89" s="7"/>
      <c r="M89" s="7"/>
      <c r="N89" s="7"/>
      <c r="O89" s="7"/>
      <c r="P89" s="7"/>
    </row>
    <row r="90" spans="1:16" x14ac:dyDescent="0.3">
      <c r="A90" s="7"/>
      <c r="B90" s="7"/>
      <c r="C90" s="7"/>
      <c r="D90" s="7"/>
      <c r="E90" s="7"/>
      <c r="F90" s="7"/>
      <c r="G90" s="7"/>
      <c r="H90" s="7"/>
      <c r="I90" s="7"/>
      <c r="J90" s="7"/>
      <c r="K90" s="7"/>
      <c r="L90" s="7"/>
      <c r="M90" s="7"/>
      <c r="N90" s="7"/>
      <c r="O90" s="7"/>
      <c r="P90" s="7"/>
    </row>
    <row r="91" spans="1:16" x14ac:dyDescent="0.3">
      <c r="A91" s="7"/>
      <c r="B91" s="7"/>
      <c r="C91" s="7"/>
      <c r="D91" s="7"/>
      <c r="E91" s="7"/>
      <c r="F91" s="7"/>
      <c r="G91" s="7"/>
      <c r="H91" s="7"/>
      <c r="I91" s="7"/>
      <c r="J91" s="7"/>
      <c r="K91" s="7"/>
      <c r="L91" s="7"/>
      <c r="M91" s="7"/>
      <c r="N91" s="7"/>
      <c r="O91" s="7"/>
      <c r="P91" s="7"/>
    </row>
    <row r="92" spans="1:16" x14ac:dyDescent="0.3">
      <c r="A92" s="7"/>
      <c r="B92" s="7"/>
      <c r="C92" s="7"/>
      <c r="D92" s="7"/>
      <c r="E92" s="7"/>
      <c r="F92" s="7"/>
      <c r="G92" s="7"/>
      <c r="H92" s="7"/>
      <c r="I92" s="7"/>
      <c r="J92" s="7"/>
      <c r="K92" s="7"/>
      <c r="L92" s="7"/>
      <c r="M92" s="7"/>
      <c r="N92" s="7"/>
      <c r="O92" s="7"/>
      <c r="P92" s="7"/>
    </row>
    <row r="93" spans="1:16" x14ac:dyDescent="0.3">
      <c r="A93" s="7"/>
      <c r="B93" s="7"/>
      <c r="C93" s="7"/>
      <c r="D93" s="7"/>
      <c r="E93" s="7"/>
      <c r="F93" s="7"/>
      <c r="G93" s="7"/>
      <c r="H93" s="7"/>
      <c r="I93" s="7"/>
      <c r="J93" s="7"/>
      <c r="K93" s="7"/>
      <c r="L93" s="7"/>
      <c r="M93" s="7"/>
      <c r="N93" s="7"/>
      <c r="O93" s="7"/>
      <c r="P93" s="7"/>
    </row>
    <row r="94" spans="1:16" x14ac:dyDescent="0.3">
      <c r="A94" s="7"/>
      <c r="B94" s="7"/>
      <c r="C94" s="7"/>
      <c r="D94" s="7"/>
      <c r="E94" s="7"/>
      <c r="F94" s="7"/>
      <c r="G94" s="7"/>
      <c r="H94" s="7"/>
      <c r="I94" s="7"/>
      <c r="J94" s="7"/>
      <c r="K94" s="7"/>
      <c r="L94" s="7"/>
      <c r="M94" s="7"/>
      <c r="N94" s="7"/>
      <c r="O94" s="7"/>
      <c r="P94" s="7"/>
    </row>
    <row r="95" spans="1:16" x14ac:dyDescent="0.3">
      <c r="A95" s="7"/>
      <c r="B95" s="7"/>
      <c r="C95" s="7"/>
      <c r="D95" s="7"/>
      <c r="E95" s="7"/>
      <c r="F95" s="7"/>
      <c r="G95" s="7"/>
      <c r="H95" s="7"/>
      <c r="I95" s="7"/>
      <c r="J95" s="7"/>
      <c r="K95" s="7"/>
      <c r="L95" s="7"/>
      <c r="M95" s="7"/>
      <c r="N95" s="7"/>
      <c r="O95" s="7"/>
      <c r="P95" s="7"/>
    </row>
    <row r="96" spans="1:16" x14ac:dyDescent="0.3">
      <c r="A96" s="7"/>
      <c r="B96" s="7"/>
      <c r="C96" s="7"/>
      <c r="D96" s="7"/>
      <c r="E96" s="7"/>
      <c r="F96" s="7"/>
      <c r="G96" s="7"/>
      <c r="H96" s="7"/>
      <c r="I96" s="7"/>
      <c r="J96" s="7"/>
      <c r="K96" s="7"/>
      <c r="L96" s="7"/>
      <c r="M96" s="7"/>
      <c r="N96" s="7"/>
      <c r="O96" s="7"/>
      <c r="P96" s="7"/>
    </row>
    <row r="97" spans="1:16" x14ac:dyDescent="0.3">
      <c r="A97" s="7"/>
      <c r="B97" s="7"/>
      <c r="C97" s="7"/>
      <c r="D97" s="7"/>
      <c r="E97" s="7"/>
      <c r="F97" s="7"/>
      <c r="G97" s="7"/>
      <c r="H97" s="7"/>
      <c r="I97" s="7"/>
      <c r="J97" s="7"/>
      <c r="K97" s="7"/>
      <c r="L97" s="7"/>
      <c r="M97" s="7"/>
      <c r="N97" s="7"/>
      <c r="O97" s="7"/>
      <c r="P97" s="7"/>
    </row>
    <row r="98" spans="1:16" x14ac:dyDescent="0.3">
      <c r="A98" s="7"/>
      <c r="B98" s="7"/>
      <c r="C98" s="7"/>
      <c r="D98" s="7"/>
      <c r="E98" s="7"/>
      <c r="F98" s="7"/>
      <c r="G98" s="7"/>
      <c r="H98" s="7"/>
      <c r="I98" s="7"/>
      <c r="J98" s="7"/>
      <c r="K98" s="7"/>
      <c r="L98" s="7"/>
      <c r="M98" s="7"/>
      <c r="N98" s="7"/>
      <c r="O98" s="7"/>
      <c r="P98" s="7"/>
    </row>
    <row r="99" spans="1:16" x14ac:dyDescent="0.3">
      <c r="A99" s="7"/>
      <c r="B99" s="7"/>
      <c r="C99" s="7"/>
      <c r="D99" s="7"/>
      <c r="E99" s="7"/>
      <c r="F99" s="7"/>
      <c r="G99" s="7"/>
      <c r="H99" s="7"/>
      <c r="I99" s="7"/>
      <c r="J99" s="7"/>
      <c r="K99" s="7"/>
      <c r="L99" s="7"/>
      <c r="M99" s="7"/>
      <c r="N99" s="7"/>
      <c r="O99" s="7"/>
      <c r="P99" s="7"/>
    </row>
    <row r="100" spans="1:16" x14ac:dyDescent="0.3">
      <c r="A100" s="7"/>
      <c r="B100" s="7"/>
      <c r="C100" s="7"/>
      <c r="D100" s="7"/>
      <c r="E100" s="7"/>
      <c r="F100" s="7"/>
      <c r="G100" s="7"/>
      <c r="H100" s="7"/>
      <c r="I100" s="7"/>
      <c r="J100" s="7"/>
      <c r="K100" s="7"/>
      <c r="L100" s="7"/>
      <c r="M100" s="7"/>
      <c r="N100" s="7"/>
      <c r="O100" s="7"/>
      <c r="P100" s="7"/>
    </row>
    <row r="101" spans="1:16" x14ac:dyDescent="0.3">
      <c r="A101" s="7"/>
      <c r="B101" s="7"/>
      <c r="C101" s="7"/>
      <c r="D101" s="7"/>
      <c r="E101" s="7"/>
      <c r="F101" s="7"/>
      <c r="G101" s="7"/>
      <c r="H101" s="7"/>
      <c r="I101" s="7"/>
      <c r="J101" s="7"/>
      <c r="K101" s="7"/>
      <c r="L101" s="7"/>
      <c r="M101" s="7"/>
      <c r="N101" s="7"/>
      <c r="O101" s="7"/>
      <c r="P101" s="7"/>
    </row>
    <row r="102" spans="1:16" x14ac:dyDescent="0.3">
      <c r="A102" s="7"/>
      <c r="B102" s="7"/>
      <c r="C102" s="7"/>
      <c r="D102" s="7"/>
      <c r="E102" s="7"/>
      <c r="F102" s="7"/>
      <c r="G102" s="7"/>
      <c r="H102" s="7"/>
      <c r="I102" s="7"/>
      <c r="J102" s="7"/>
      <c r="K102" s="7"/>
      <c r="L102" s="7"/>
      <c r="M102" s="7"/>
      <c r="N102" s="7"/>
      <c r="O102" s="7"/>
      <c r="P102" s="7"/>
    </row>
    <row r="103" spans="1:16" x14ac:dyDescent="0.3">
      <c r="A103" s="7"/>
      <c r="B103" s="7"/>
      <c r="C103" s="7"/>
      <c r="D103" s="7"/>
      <c r="E103" s="7"/>
      <c r="F103" s="7"/>
      <c r="G103" s="7"/>
      <c r="H103" s="7"/>
      <c r="I103" s="7"/>
      <c r="J103" s="7"/>
      <c r="K103" s="7"/>
      <c r="L103" s="7"/>
      <c r="M103" s="7"/>
      <c r="N103" s="7"/>
      <c r="O103" s="7"/>
      <c r="P103" s="7"/>
    </row>
    <row r="104" spans="1:16" x14ac:dyDescent="0.3">
      <c r="A104" s="7"/>
      <c r="B104" s="7"/>
      <c r="C104" s="7"/>
      <c r="D104" s="7"/>
      <c r="E104" s="7"/>
      <c r="F104" s="7"/>
      <c r="G104" s="7"/>
      <c r="H104" s="7"/>
      <c r="I104" s="7"/>
      <c r="J104" s="7"/>
      <c r="K104" s="7"/>
      <c r="L104" s="7"/>
      <c r="M104" s="7"/>
      <c r="N104" s="7"/>
      <c r="O104" s="7"/>
      <c r="P104" s="7"/>
    </row>
    <row r="105" spans="1:16" x14ac:dyDescent="0.3">
      <c r="A105" s="7"/>
      <c r="B105" s="7"/>
      <c r="C105" s="7"/>
      <c r="D105" s="7"/>
      <c r="E105" s="7"/>
      <c r="F105" s="7"/>
      <c r="G105" s="7"/>
      <c r="H105" s="7"/>
      <c r="I105" s="7"/>
      <c r="J105" s="7"/>
      <c r="K105" s="7"/>
      <c r="L105" s="7"/>
      <c r="M105" s="7"/>
      <c r="N105" s="7"/>
      <c r="O105" s="7"/>
      <c r="P105" s="7"/>
    </row>
    <row r="106" spans="1:16" x14ac:dyDescent="0.3">
      <c r="A106" s="7"/>
      <c r="B106" s="7"/>
      <c r="C106" s="7"/>
      <c r="D106" s="7"/>
      <c r="E106" s="7"/>
      <c r="F106" s="7"/>
      <c r="G106" s="7"/>
      <c r="H106" s="7"/>
      <c r="I106" s="7"/>
      <c r="J106" s="7"/>
      <c r="K106" s="7"/>
      <c r="L106" s="7"/>
      <c r="M106" s="7"/>
      <c r="N106" s="7"/>
      <c r="O106" s="7"/>
      <c r="P106" s="7"/>
    </row>
    <row r="107" spans="1:16" x14ac:dyDescent="0.3">
      <c r="A107" s="7"/>
      <c r="B107" s="7"/>
      <c r="C107" s="7"/>
      <c r="D107" s="7"/>
      <c r="E107" s="7"/>
      <c r="F107" s="7"/>
      <c r="G107" s="7"/>
      <c r="H107" s="7"/>
      <c r="I107" s="7"/>
      <c r="J107" s="7"/>
      <c r="K107" s="7"/>
      <c r="L107" s="7"/>
      <c r="M107" s="7"/>
      <c r="N107" s="7"/>
      <c r="O107" s="7"/>
      <c r="P107" s="7"/>
    </row>
    <row r="108" spans="1:16" x14ac:dyDescent="0.3">
      <c r="A108" s="7"/>
      <c r="B108" s="7"/>
      <c r="C108" s="7"/>
      <c r="D108" s="7"/>
      <c r="E108" s="7"/>
      <c r="F108" s="7"/>
      <c r="G108" s="7"/>
      <c r="H108" s="7"/>
      <c r="I108" s="7"/>
      <c r="J108" s="7"/>
      <c r="K108" s="7"/>
      <c r="L108" s="7"/>
      <c r="M108" s="7"/>
      <c r="N108" s="7"/>
      <c r="O108" s="7"/>
      <c r="P108" s="7"/>
    </row>
    <row r="109" spans="1:16" x14ac:dyDescent="0.3">
      <c r="A109" s="7"/>
      <c r="B109" s="7"/>
      <c r="C109" s="7"/>
      <c r="D109" s="7"/>
      <c r="E109" s="7"/>
      <c r="F109" s="7"/>
      <c r="G109" s="7"/>
      <c r="H109" s="7"/>
      <c r="I109" s="7"/>
      <c r="J109" s="7"/>
      <c r="K109" s="7"/>
      <c r="L109" s="7"/>
      <c r="M109" s="7"/>
      <c r="N109" s="7"/>
      <c r="O109" s="7"/>
      <c r="P109" s="7"/>
    </row>
    <row r="110" spans="1:16" x14ac:dyDescent="0.3">
      <c r="A110" s="7"/>
      <c r="B110" s="7"/>
      <c r="C110" s="7"/>
      <c r="D110" s="7"/>
      <c r="E110" s="7"/>
      <c r="F110" s="7"/>
      <c r="G110" s="7"/>
      <c r="H110" s="7"/>
      <c r="I110" s="7"/>
      <c r="J110" s="7"/>
      <c r="K110" s="7"/>
      <c r="L110" s="7"/>
      <c r="M110" s="7"/>
      <c r="N110" s="7"/>
      <c r="O110" s="7"/>
      <c r="P110" s="7"/>
    </row>
    <row r="111" spans="1:16" x14ac:dyDescent="0.3">
      <c r="A111" s="7"/>
      <c r="B111" s="7"/>
      <c r="C111" s="7"/>
      <c r="D111" s="7"/>
      <c r="E111" s="7"/>
      <c r="F111" s="7"/>
      <c r="G111" s="7"/>
      <c r="H111" s="7"/>
      <c r="I111" s="7"/>
      <c r="J111" s="7"/>
      <c r="K111" s="7"/>
      <c r="L111" s="7"/>
      <c r="M111" s="7"/>
      <c r="N111" s="7"/>
      <c r="O111" s="7"/>
      <c r="P111" s="7"/>
    </row>
    <row r="112" spans="1:16" x14ac:dyDescent="0.3">
      <c r="A112" s="7"/>
      <c r="B112" s="7"/>
      <c r="C112" s="7"/>
      <c r="D112" s="7"/>
      <c r="E112" s="7"/>
      <c r="F112" s="7"/>
      <c r="G112" s="7"/>
      <c r="H112" s="7"/>
      <c r="I112" s="7"/>
      <c r="J112" s="7"/>
      <c r="K112" s="7"/>
      <c r="L112" s="7"/>
      <c r="M112" s="7"/>
      <c r="N112" s="7"/>
      <c r="O112" s="7"/>
      <c r="P112" s="7"/>
    </row>
    <row r="113" spans="1:16" x14ac:dyDescent="0.3">
      <c r="A113" s="7"/>
      <c r="B113" s="7"/>
      <c r="C113" s="7"/>
      <c r="D113" s="7"/>
      <c r="E113" s="7"/>
      <c r="F113" s="7"/>
      <c r="G113" s="7"/>
      <c r="H113" s="7"/>
      <c r="I113" s="7"/>
      <c r="J113" s="7"/>
      <c r="K113" s="7"/>
      <c r="L113" s="7"/>
      <c r="M113" s="7"/>
      <c r="N113" s="7"/>
      <c r="O113" s="7"/>
      <c r="P113" s="7"/>
    </row>
    <row r="114" spans="1:16" x14ac:dyDescent="0.3">
      <c r="A114" s="7"/>
      <c r="B114" s="7"/>
      <c r="C114" s="7"/>
      <c r="D114" s="7"/>
      <c r="E114" s="7"/>
      <c r="F114" s="7"/>
      <c r="G114" s="7"/>
      <c r="H114" s="7"/>
      <c r="I114" s="7"/>
      <c r="J114" s="7"/>
      <c r="K114" s="7"/>
      <c r="L114" s="7"/>
      <c r="M114" s="7"/>
      <c r="N114" s="7"/>
      <c r="O114" s="7"/>
      <c r="P114" s="7"/>
    </row>
    <row r="115" spans="1:16" x14ac:dyDescent="0.3">
      <c r="A115" s="7"/>
      <c r="B115" s="7"/>
      <c r="C115" s="7"/>
      <c r="D115" s="7"/>
      <c r="E115" s="7"/>
      <c r="F115" s="7"/>
      <c r="G115" s="7"/>
      <c r="H115" s="7"/>
      <c r="I115" s="7"/>
      <c r="J115" s="7"/>
      <c r="K115" s="7"/>
      <c r="L115" s="7"/>
      <c r="M115" s="7"/>
      <c r="N115" s="7"/>
      <c r="O115" s="7"/>
      <c r="P115" s="7"/>
    </row>
    <row r="116" spans="1:16" x14ac:dyDescent="0.3">
      <c r="A116" s="7"/>
      <c r="B116" s="7"/>
      <c r="C116" s="7"/>
      <c r="D116" s="7"/>
      <c r="E116" s="7"/>
      <c r="F116" s="7"/>
      <c r="G116" s="7"/>
      <c r="H116" s="7"/>
      <c r="I116" s="7"/>
      <c r="J116" s="7"/>
      <c r="K116" s="7"/>
      <c r="L116" s="7"/>
      <c r="M116" s="7"/>
      <c r="N116" s="7"/>
      <c r="O116" s="7"/>
      <c r="P116" s="7"/>
    </row>
    <row r="117" spans="1:16" x14ac:dyDescent="0.3">
      <c r="A117" s="7"/>
      <c r="B117" s="7"/>
      <c r="C117" s="7"/>
      <c r="D117" s="7"/>
      <c r="E117" s="7"/>
      <c r="F117" s="7"/>
      <c r="G117" s="7"/>
      <c r="H117" s="7"/>
      <c r="I117" s="7"/>
      <c r="J117" s="7"/>
      <c r="K117" s="7"/>
      <c r="L117" s="7"/>
      <c r="M117" s="7"/>
      <c r="N117" s="7"/>
      <c r="O117" s="7"/>
      <c r="P117" s="7"/>
    </row>
    <row r="118" spans="1:16" x14ac:dyDescent="0.3">
      <c r="A118" s="7"/>
      <c r="B118" s="7"/>
      <c r="C118" s="7"/>
      <c r="D118" s="7"/>
      <c r="E118" s="7"/>
      <c r="F118" s="7"/>
      <c r="G118" s="7"/>
      <c r="H118" s="7"/>
      <c r="I118" s="7"/>
      <c r="J118" s="7"/>
      <c r="K118" s="7"/>
      <c r="L118" s="7"/>
      <c r="M118" s="7"/>
      <c r="N118" s="7"/>
      <c r="O118" s="7"/>
      <c r="P118" s="7"/>
    </row>
    <row r="119" spans="1:16" x14ac:dyDescent="0.3">
      <c r="A119" s="7"/>
      <c r="B119" s="7"/>
      <c r="C119" s="7"/>
      <c r="D119" s="7"/>
      <c r="E119" s="7"/>
      <c r="F119" s="7"/>
      <c r="G119" s="7"/>
      <c r="H119" s="7"/>
      <c r="I119" s="7"/>
      <c r="J119" s="7"/>
      <c r="K119" s="7"/>
      <c r="L119" s="7"/>
      <c r="M119" s="7"/>
      <c r="N119" s="7"/>
      <c r="O119" s="7"/>
      <c r="P119" s="7"/>
    </row>
    <row r="120" spans="1:16" x14ac:dyDescent="0.3">
      <c r="A120" s="7"/>
      <c r="B120" s="7"/>
      <c r="C120" s="7"/>
      <c r="D120" s="7"/>
      <c r="E120" s="7"/>
      <c r="F120" s="7"/>
      <c r="G120" s="7"/>
      <c r="H120" s="7"/>
      <c r="I120" s="7"/>
      <c r="J120" s="7"/>
      <c r="K120" s="7"/>
      <c r="L120" s="7"/>
      <c r="M120" s="7"/>
      <c r="N120" s="7"/>
      <c r="O120" s="7"/>
      <c r="P120" s="7"/>
    </row>
    <row r="121" spans="1:16" x14ac:dyDescent="0.3">
      <c r="A121" s="7"/>
      <c r="B121" s="7"/>
      <c r="C121" s="7"/>
      <c r="D121" s="7"/>
      <c r="E121" s="7"/>
      <c r="F121" s="7"/>
      <c r="G121" s="7"/>
      <c r="H121" s="7"/>
      <c r="I121" s="7"/>
      <c r="J121" s="7"/>
      <c r="K121" s="7"/>
      <c r="L121" s="7"/>
      <c r="M121" s="7"/>
      <c r="N121" s="7"/>
      <c r="O121" s="7"/>
      <c r="P121" s="7"/>
    </row>
    <row r="122" spans="1:16" x14ac:dyDescent="0.3">
      <c r="A122" s="7"/>
      <c r="B122" s="7"/>
      <c r="C122" s="7"/>
      <c r="D122" s="7"/>
      <c r="E122" s="7"/>
      <c r="F122" s="7"/>
      <c r="G122" s="7"/>
      <c r="H122" s="7"/>
      <c r="I122" s="7"/>
      <c r="J122" s="7"/>
      <c r="K122" s="7"/>
      <c r="L122" s="7"/>
      <c r="M122" s="7"/>
      <c r="N122" s="7"/>
      <c r="O122" s="7"/>
      <c r="P122" s="7"/>
    </row>
    <row r="123" spans="1:16" x14ac:dyDescent="0.3">
      <c r="A123" s="7"/>
      <c r="B123" s="7"/>
      <c r="C123" s="7"/>
      <c r="D123" s="7"/>
      <c r="E123" s="7"/>
      <c r="F123" s="7"/>
      <c r="G123" s="7"/>
      <c r="H123" s="7"/>
      <c r="I123" s="7"/>
      <c r="J123" s="7"/>
      <c r="K123" s="7"/>
      <c r="L123" s="7"/>
      <c r="M123" s="7"/>
      <c r="N123" s="7"/>
      <c r="O123" s="7"/>
      <c r="P123" s="7"/>
    </row>
    <row r="124" spans="1:16" x14ac:dyDescent="0.3">
      <c r="A124" s="7"/>
      <c r="B124" s="7"/>
      <c r="C124" s="7"/>
      <c r="D124" s="7"/>
      <c r="E124" s="7"/>
      <c r="F124" s="7"/>
      <c r="G124" s="7"/>
      <c r="H124" s="7"/>
      <c r="I124" s="7"/>
      <c r="J124" s="7"/>
      <c r="K124" s="7"/>
      <c r="L124" s="7"/>
      <c r="M124" s="7"/>
      <c r="N124" s="7"/>
      <c r="O124" s="7"/>
      <c r="P124" s="7"/>
    </row>
    <row r="125" spans="1:16" x14ac:dyDescent="0.3">
      <c r="A125" s="7"/>
      <c r="B125" s="7"/>
      <c r="C125" s="7"/>
      <c r="D125" s="7"/>
      <c r="E125" s="7"/>
      <c r="F125" s="7"/>
      <c r="G125" s="7"/>
      <c r="H125" s="7"/>
      <c r="I125" s="7"/>
      <c r="J125" s="7"/>
      <c r="K125" s="7"/>
      <c r="L125" s="7"/>
      <c r="M125" s="7"/>
      <c r="N125" s="7"/>
      <c r="O125" s="7"/>
      <c r="P125" s="7"/>
    </row>
    <row r="126" spans="1:16" x14ac:dyDescent="0.3">
      <c r="A126" s="7"/>
      <c r="B126" s="7"/>
      <c r="C126" s="7"/>
      <c r="D126" s="7"/>
      <c r="E126" s="7"/>
      <c r="F126" s="7"/>
      <c r="G126" s="7"/>
      <c r="H126" s="7"/>
      <c r="I126" s="7"/>
      <c r="J126" s="7"/>
      <c r="K126" s="7"/>
      <c r="L126" s="7"/>
      <c r="M126" s="7"/>
      <c r="N126" s="7"/>
      <c r="O126" s="7"/>
      <c r="P126" s="7"/>
    </row>
    <row r="127" spans="1:16" x14ac:dyDescent="0.3">
      <c r="A127" s="7"/>
      <c r="B127" s="7"/>
      <c r="C127" s="7"/>
      <c r="D127" s="7"/>
      <c r="E127" s="7"/>
      <c r="F127" s="7"/>
      <c r="G127" s="7"/>
      <c r="H127" s="7"/>
      <c r="I127" s="7"/>
      <c r="J127" s="7"/>
      <c r="K127" s="7"/>
      <c r="L127" s="7"/>
      <c r="M127" s="7"/>
      <c r="N127" s="7"/>
      <c r="O127" s="7"/>
      <c r="P127" s="7"/>
    </row>
    <row r="128" spans="1:16" x14ac:dyDescent="0.3">
      <c r="A128" s="7"/>
      <c r="B128" s="7"/>
      <c r="C128" s="7"/>
      <c r="D128" s="7"/>
      <c r="E128" s="7"/>
      <c r="F128" s="7"/>
      <c r="G128" s="7"/>
      <c r="H128" s="7"/>
      <c r="I128" s="7"/>
      <c r="J128" s="7"/>
      <c r="K128" s="7"/>
      <c r="L128" s="7"/>
      <c r="M128" s="7"/>
      <c r="N128" s="7"/>
      <c r="O128" s="7"/>
      <c r="P128" s="7"/>
    </row>
    <row r="129" spans="1:16" x14ac:dyDescent="0.3">
      <c r="A129" s="7"/>
      <c r="B129" s="7"/>
      <c r="C129" s="7"/>
      <c r="D129" s="7"/>
      <c r="E129" s="7"/>
      <c r="F129" s="7"/>
      <c r="G129" s="7"/>
      <c r="H129" s="7"/>
      <c r="I129" s="7"/>
      <c r="J129" s="7"/>
      <c r="K129" s="7"/>
      <c r="L129" s="7"/>
      <c r="M129" s="7"/>
      <c r="N129" s="7"/>
      <c r="O129" s="7"/>
      <c r="P129" s="7"/>
    </row>
    <row r="130" spans="1:16" x14ac:dyDescent="0.3">
      <c r="A130" s="7"/>
      <c r="B130" s="7"/>
      <c r="C130" s="7"/>
      <c r="D130" s="7"/>
      <c r="E130" s="7"/>
      <c r="F130" s="7"/>
      <c r="G130" s="7"/>
      <c r="H130" s="7"/>
      <c r="I130" s="7"/>
      <c r="J130" s="7"/>
      <c r="K130" s="7"/>
      <c r="L130" s="7"/>
      <c r="M130" s="7"/>
      <c r="N130" s="7"/>
      <c r="O130" s="7"/>
      <c r="P130" s="7"/>
    </row>
    <row r="131" spans="1:16" x14ac:dyDescent="0.3">
      <c r="A131" s="7"/>
      <c r="B131" s="7"/>
      <c r="C131" s="7"/>
      <c r="D131" s="7"/>
      <c r="E131" s="7"/>
      <c r="F131" s="7"/>
      <c r="G131" s="7"/>
      <c r="H131" s="7"/>
      <c r="I131" s="7"/>
      <c r="J131" s="7"/>
      <c r="K131" s="7"/>
      <c r="L131" s="7"/>
      <c r="M131" s="7"/>
      <c r="N131" s="7"/>
      <c r="O131" s="7"/>
      <c r="P131" s="7"/>
    </row>
    <row r="132" spans="1:16" x14ac:dyDescent="0.3">
      <c r="A132" s="7"/>
      <c r="B132" s="7"/>
      <c r="C132" s="7"/>
      <c r="D132" s="7"/>
      <c r="E132" s="7"/>
      <c r="F132" s="7"/>
      <c r="G132" s="7"/>
      <c r="H132" s="7"/>
      <c r="I132" s="7"/>
      <c r="J132" s="7"/>
      <c r="K132" s="7"/>
      <c r="L132" s="7"/>
      <c r="M132" s="7"/>
      <c r="N132" s="7"/>
      <c r="O132" s="7"/>
      <c r="P132" s="7"/>
    </row>
    <row r="133" spans="1:16" x14ac:dyDescent="0.3">
      <c r="A133" s="7"/>
      <c r="B133" s="7"/>
      <c r="C133" s="7"/>
      <c r="D133" s="7"/>
      <c r="E133" s="7"/>
      <c r="F133" s="7"/>
      <c r="G133" s="7"/>
      <c r="H133" s="7"/>
      <c r="I133" s="7"/>
      <c r="J133" s="7"/>
      <c r="K133" s="7"/>
      <c r="L133" s="7"/>
      <c r="M133" s="7"/>
      <c r="N133" s="7"/>
      <c r="O133" s="7"/>
      <c r="P133" s="7"/>
    </row>
    <row r="134" spans="1:16" x14ac:dyDescent="0.3">
      <c r="A134" s="7"/>
      <c r="B134" s="7"/>
      <c r="C134" s="7"/>
      <c r="D134" s="7"/>
      <c r="E134" s="7"/>
      <c r="F134" s="7"/>
      <c r="G134" s="7"/>
      <c r="H134" s="7"/>
      <c r="I134" s="7"/>
      <c r="J134" s="7"/>
      <c r="K134" s="7"/>
      <c r="L134" s="7"/>
      <c r="M134" s="7"/>
      <c r="N134" s="7"/>
      <c r="O134" s="7"/>
      <c r="P134" s="7"/>
    </row>
    <row r="135" spans="1:16" x14ac:dyDescent="0.3">
      <c r="A135" s="7"/>
      <c r="B135" s="7"/>
      <c r="C135" s="7"/>
      <c r="D135" s="7"/>
      <c r="E135" s="7"/>
      <c r="F135" s="7"/>
      <c r="G135" s="7"/>
      <c r="H135" s="7"/>
      <c r="I135" s="7"/>
      <c r="J135" s="7"/>
      <c r="K135" s="7"/>
      <c r="L135" s="7"/>
      <c r="M135" s="7"/>
      <c r="N135" s="7"/>
      <c r="O135" s="7"/>
      <c r="P135" s="7"/>
    </row>
    <row r="136" spans="1:16" x14ac:dyDescent="0.3">
      <c r="A136" s="7"/>
      <c r="B136" s="7"/>
      <c r="C136" s="7"/>
      <c r="D136" s="7"/>
      <c r="E136" s="7"/>
      <c r="F136" s="7"/>
      <c r="G136" s="7"/>
      <c r="H136" s="7"/>
      <c r="I136" s="7"/>
      <c r="J136" s="7"/>
      <c r="K136" s="7"/>
      <c r="L136" s="7"/>
      <c r="M136" s="7"/>
      <c r="N136" s="7"/>
      <c r="O136" s="7"/>
      <c r="P136" s="7"/>
    </row>
    <row r="137" spans="1:16" x14ac:dyDescent="0.3">
      <c r="A137" s="7"/>
      <c r="B137" s="7"/>
      <c r="C137" s="7"/>
      <c r="D137" s="7"/>
      <c r="E137" s="7"/>
      <c r="F137" s="7"/>
      <c r="G137" s="7"/>
      <c r="H137" s="7"/>
      <c r="I137" s="7"/>
      <c r="J137" s="7"/>
      <c r="K137" s="7"/>
      <c r="L137" s="7"/>
      <c r="M137" s="7"/>
      <c r="N137" s="7"/>
      <c r="O137" s="7"/>
      <c r="P137" s="7"/>
    </row>
    <row r="138" spans="1:16" x14ac:dyDescent="0.3">
      <c r="A138" s="7"/>
      <c r="B138" s="7"/>
      <c r="C138" s="7"/>
      <c r="D138" s="7"/>
      <c r="E138" s="7"/>
      <c r="F138" s="7"/>
      <c r="G138" s="7"/>
      <c r="H138" s="7"/>
      <c r="I138" s="7"/>
      <c r="J138" s="7"/>
      <c r="K138" s="7"/>
      <c r="L138" s="7"/>
      <c r="M138" s="7"/>
      <c r="N138" s="7"/>
      <c r="O138" s="7"/>
      <c r="P138" s="7"/>
    </row>
    <row r="139" spans="1:16" x14ac:dyDescent="0.3">
      <c r="A139" s="7"/>
      <c r="B139" s="7"/>
      <c r="C139" s="7"/>
      <c r="D139" s="7"/>
      <c r="E139" s="7"/>
      <c r="F139" s="7"/>
      <c r="G139" s="7"/>
      <c r="H139" s="7"/>
      <c r="I139" s="7"/>
      <c r="J139" s="7"/>
      <c r="K139" s="7"/>
      <c r="L139" s="7"/>
      <c r="M139" s="7"/>
      <c r="N139" s="7"/>
      <c r="O139" s="7"/>
      <c r="P139" s="7"/>
    </row>
    <row r="140" spans="1:16" x14ac:dyDescent="0.3">
      <c r="A140" s="7"/>
      <c r="B140" s="7"/>
      <c r="C140" s="7"/>
      <c r="D140" s="7"/>
      <c r="E140" s="7"/>
      <c r="F140" s="7"/>
      <c r="G140" s="7"/>
      <c r="H140" s="7"/>
      <c r="I140" s="7"/>
      <c r="J140" s="7"/>
      <c r="K140" s="7"/>
      <c r="L140" s="7"/>
      <c r="M140" s="7"/>
      <c r="N140" s="7"/>
      <c r="O140" s="7"/>
      <c r="P140" s="7"/>
    </row>
    <row r="141" spans="1:16" x14ac:dyDescent="0.3">
      <c r="A141" s="7"/>
      <c r="B141" s="7"/>
      <c r="C141" s="7"/>
      <c r="D141" s="7"/>
      <c r="E141" s="7"/>
      <c r="F141" s="7"/>
      <c r="G141" s="7"/>
      <c r="H141" s="7"/>
      <c r="I141" s="7"/>
      <c r="J141" s="7"/>
      <c r="K141" s="7"/>
      <c r="L141" s="7"/>
      <c r="M141" s="7"/>
      <c r="N141" s="7"/>
      <c r="O141" s="7"/>
      <c r="P141" s="7"/>
    </row>
    <row r="142" spans="1:16" x14ac:dyDescent="0.3">
      <c r="A142" s="7"/>
      <c r="B142" s="7"/>
      <c r="C142" s="7"/>
      <c r="D142" s="7"/>
      <c r="E142" s="7"/>
      <c r="F142" s="7"/>
      <c r="G142" s="7"/>
      <c r="H142" s="7"/>
      <c r="I142" s="7"/>
      <c r="J142" s="7"/>
      <c r="K142" s="7"/>
      <c r="L142" s="7"/>
      <c r="M142" s="7"/>
      <c r="N142" s="7"/>
      <c r="O142" s="7"/>
      <c r="P142" s="7"/>
    </row>
    <row r="143" spans="1:16" x14ac:dyDescent="0.3">
      <c r="A143" s="7"/>
      <c r="B143" s="7"/>
      <c r="C143" s="7"/>
      <c r="D143" s="7"/>
      <c r="E143" s="7"/>
      <c r="F143" s="7"/>
      <c r="G143" s="7"/>
      <c r="H143" s="7"/>
      <c r="I143" s="7"/>
      <c r="J143" s="7"/>
      <c r="K143" s="7"/>
      <c r="L143" s="7"/>
      <c r="M143" s="7"/>
      <c r="N143" s="7"/>
      <c r="O143" s="7"/>
      <c r="P143" s="7"/>
    </row>
    <row r="144" spans="1:16" x14ac:dyDescent="0.3">
      <c r="A144" s="7"/>
      <c r="B144" s="7"/>
      <c r="C144" s="7"/>
      <c r="D144" s="7"/>
      <c r="E144" s="7"/>
      <c r="F144" s="7"/>
      <c r="G144" s="7"/>
      <c r="H144" s="7"/>
      <c r="I144" s="7"/>
      <c r="J144" s="7"/>
      <c r="K144" s="7"/>
      <c r="L144" s="7"/>
      <c r="M144" s="7"/>
      <c r="N144" s="7"/>
      <c r="O144" s="7"/>
      <c r="P144" s="7"/>
    </row>
    <row r="145" spans="1:16" x14ac:dyDescent="0.3">
      <c r="A145" s="7"/>
      <c r="B145" s="7"/>
      <c r="C145" s="7"/>
      <c r="D145" s="7"/>
      <c r="E145" s="7"/>
      <c r="F145" s="7"/>
      <c r="G145" s="7"/>
      <c r="H145" s="7"/>
      <c r="I145" s="7"/>
      <c r="J145" s="7"/>
      <c r="K145" s="7"/>
      <c r="L145" s="7"/>
      <c r="M145" s="7"/>
      <c r="N145" s="7"/>
      <c r="O145" s="7"/>
      <c r="P145" s="7"/>
    </row>
    <row r="146" spans="1:16" x14ac:dyDescent="0.3">
      <c r="A146" s="7"/>
      <c r="B146" s="7"/>
      <c r="C146" s="7"/>
      <c r="D146" s="7"/>
      <c r="E146" s="7"/>
      <c r="F146" s="7"/>
      <c r="G146" s="7"/>
      <c r="H146" s="7"/>
      <c r="I146" s="7"/>
      <c r="J146" s="7"/>
      <c r="K146" s="7"/>
      <c r="L146" s="7"/>
      <c r="M146" s="7"/>
      <c r="N146" s="7"/>
      <c r="O146" s="7"/>
      <c r="P146" s="7"/>
    </row>
    <row r="147" spans="1:16" x14ac:dyDescent="0.3">
      <c r="A147" s="7"/>
      <c r="B147" s="7"/>
      <c r="C147" s="7"/>
      <c r="D147" s="7"/>
      <c r="E147" s="7"/>
      <c r="F147" s="7"/>
      <c r="G147" s="7"/>
      <c r="H147" s="7"/>
      <c r="I147" s="7"/>
      <c r="J147" s="7"/>
      <c r="K147" s="7"/>
      <c r="L147" s="7"/>
      <c r="M147" s="7"/>
      <c r="N147" s="7"/>
      <c r="O147" s="7"/>
      <c r="P147" s="7"/>
    </row>
    <row r="148" spans="1:16" x14ac:dyDescent="0.3">
      <c r="A148" s="7"/>
      <c r="B148" s="7"/>
      <c r="C148" s="7"/>
      <c r="D148" s="7"/>
      <c r="E148" s="7"/>
      <c r="F148" s="7"/>
      <c r="G148" s="7"/>
      <c r="H148" s="7"/>
      <c r="I148" s="7"/>
      <c r="J148" s="7"/>
      <c r="K148" s="7"/>
      <c r="L148" s="7"/>
      <c r="M148" s="7"/>
      <c r="N148" s="7"/>
      <c r="O148" s="7"/>
      <c r="P148" s="7"/>
    </row>
    <row r="149" spans="1:16" x14ac:dyDescent="0.3">
      <c r="A149" s="7"/>
      <c r="B149" s="7"/>
      <c r="C149" s="7"/>
      <c r="D149" s="7"/>
      <c r="E149" s="7"/>
      <c r="F149" s="7"/>
      <c r="G149" s="7"/>
      <c r="H149" s="7"/>
      <c r="I149" s="7"/>
      <c r="J149" s="7"/>
      <c r="K149" s="7"/>
      <c r="L149" s="7"/>
      <c r="M149" s="7"/>
      <c r="N149" s="7"/>
      <c r="O149" s="7"/>
      <c r="P149" s="7"/>
    </row>
    <row r="150" spans="1:16" x14ac:dyDescent="0.3">
      <c r="A150" s="7"/>
      <c r="B150" s="7"/>
      <c r="C150" s="7"/>
      <c r="D150" s="7"/>
      <c r="E150" s="7"/>
      <c r="F150" s="7"/>
      <c r="G150" s="7"/>
      <c r="H150" s="7"/>
      <c r="I150" s="7"/>
      <c r="J150" s="7"/>
      <c r="K150" s="7"/>
      <c r="L150" s="7"/>
      <c r="M150" s="7"/>
      <c r="N150" s="7"/>
      <c r="O150" s="7"/>
      <c r="P150" s="7"/>
    </row>
    <row r="151" spans="1:16" x14ac:dyDescent="0.3">
      <c r="A151" s="7"/>
      <c r="B151" s="7"/>
      <c r="C151" s="7"/>
      <c r="D151" s="7"/>
      <c r="E151" s="7"/>
      <c r="F151" s="7"/>
      <c r="G151" s="7"/>
      <c r="H151" s="7"/>
      <c r="I151" s="7"/>
      <c r="J151" s="7"/>
      <c r="K151" s="7"/>
      <c r="L151" s="7"/>
      <c r="M151" s="7"/>
      <c r="N151" s="7"/>
      <c r="O151" s="7"/>
      <c r="P151" s="7"/>
    </row>
    <row r="152" spans="1:16" x14ac:dyDescent="0.3">
      <c r="A152" s="7"/>
      <c r="B152" s="7"/>
      <c r="C152" s="7"/>
      <c r="D152" s="7"/>
      <c r="E152" s="7"/>
      <c r="F152" s="7"/>
      <c r="G152" s="7"/>
      <c r="H152" s="7"/>
      <c r="I152" s="7"/>
      <c r="J152" s="7"/>
      <c r="K152" s="7"/>
      <c r="L152" s="7"/>
      <c r="M152" s="7"/>
      <c r="N152" s="7"/>
      <c r="O152" s="7"/>
      <c r="P152" s="7"/>
    </row>
    <row r="153" spans="1:16" x14ac:dyDescent="0.3">
      <c r="A153" s="7"/>
      <c r="B153" s="7"/>
      <c r="C153" s="7"/>
      <c r="D153" s="7"/>
      <c r="E153" s="7"/>
      <c r="F153" s="7"/>
      <c r="G153" s="7"/>
      <c r="H153" s="7"/>
      <c r="I153" s="7"/>
      <c r="J153" s="7"/>
      <c r="K153" s="7"/>
      <c r="L153" s="7"/>
      <c r="M153" s="7"/>
      <c r="N153" s="7"/>
      <c r="O153" s="7"/>
      <c r="P153" s="7"/>
    </row>
    <row r="154" spans="1:16" x14ac:dyDescent="0.3">
      <c r="A154" s="7"/>
      <c r="B154" s="7"/>
      <c r="C154" s="7"/>
      <c r="D154" s="7"/>
      <c r="E154" s="7"/>
      <c r="F154" s="7"/>
      <c r="G154" s="7"/>
      <c r="H154" s="7"/>
      <c r="I154" s="7"/>
      <c r="J154" s="7"/>
      <c r="K154" s="7"/>
      <c r="L154" s="7"/>
      <c r="M154" s="7"/>
      <c r="N154" s="7"/>
      <c r="O154" s="7"/>
      <c r="P154" s="7"/>
    </row>
    <row r="155" spans="1:16" x14ac:dyDescent="0.3">
      <c r="A155" s="7"/>
      <c r="B155" s="7"/>
      <c r="C155" s="7"/>
      <c r="D155" s="7"/>
      <c r="E155" s="7"/>
      <c r="F155" s="7"/>
      <c r="G155" s="7"/>
      <c r="H155" s="7"/>
      <c r="I155" s="7"/>
      <c r="J155" s="7"/>
      <c r="K155" s="7"/>
      <c r="L155" s="7"/>
      <c r="M155" s="7"/>
      <c r="N155" s="7"/>
      <c r="O155" s="7"/>
      <c r="P155" s="7"/>
    </row>
    <row r="156" spans="1:16" x14ac:dyDescent="0.3">
      <c r="A156" s="7"/>
      <c r="B156" s="7"/>
      <c r="C156" s="7"/>
      <c r="D156" s="7"/>
      <c r="E156" s="7"/>
      <c r="F156" s="7"/>
      <c r="G156" s="7"/>
      <c r="H156" s="7"/>
      <c r="I156" s="7"/>
      <c r="J156" s="7"/>
      <c r="K156" s="7"/>
      <c r="L156" s="7"/>
      <c r="M156" s="7"/>
      <c r="N156" s="7"/>
      <c r="O156" s="7"/>
      <c r="P156" s="7"/>
    </row>
    <row r="157" spans="1:16" x14ac:dyDescent="0.3">
      <c r="A157" s="7"/>
      <c r="B157" s="7"/>
      <c r="C157" s="7"/>
      <c r="D157" s="7"/>
      <c r="E157" s="7"/>
      <c r="F157" s="7"/>
      <c r="G157" s="7"/>
      <c r="H157" s="7"/>
      <c r="I157" s="7"/>
      <c r="J157" s="7"/>
      <c r="K157" s="7"/>
      <c r="L157" s="7"/>
      <c r="M157" s="7"/>
      <c r="N157" s="7"/>
      <c r="O157" s="7"/>
      <c r="P157" s="7"/>
    </row>
    <row r="158" spans="1:16" x14ac:dyDescent="0.3">
      <c r="A158" s="7"/>
      <c r="B158" s="7"/>
      <c r="C158" s="7"/>
      <c r="D158" s="7"/>
      <c r="E158" s="7"/>
      <c r="F158" s="7"/>
      <c r="G158" s="7"/>
      <c r="H158" s="7"/>
      <c r="I158" s="7"/>
      <c r="J158" s="7"/>
      <c r="K158" s="7"/>
      <c r="L158" s="7"/>
      <c r="M158" s="7"/>
      <c r="N158" s="7"/>
      <c r="O158" s="7"/>
      <c r="P158" s="7"/>
    </row>
    <row r="159" spans="1:16" x14ac:dyDescent="0.3">
      <c r="A159" s="7"/>
      <c r="B159" s="7"/>
      <c r="C159" s="7"/>
      <c r="D159" s="7"/>
      <c r="E159" s="7"/>
      <c r="F159" s="7"/>
      <c r="G159" s="7"/>
      <c r="H159" s="7"/>
      <c r="I159" s="7"/>
      <c r="J159" s="7"/>
      <c r="K159" s="7"/>
      <c r="L159" s="7"/>
      <c r="M159" s="7"/>
      <c r="N159" s="7"/>
      <c r="O159" s="7"/>
      <c r="P159" s="7"/>
    </row>
  </sheetData>
  <sheetProtection algorithmName="SHA-512" hashValue="qtXfC6XEfko37V1piQJveyLVeqnZBjx235afclobTiOB/GPhshFhAj3z5danfXPAwTiVbBFiB/ZVmbidKXH8uQ==" saltValue="cALf32oaAK5vYL6B0tfVAQ==" spinCount="100000" sheet="1" selectLockedCells="1"/>
  <mergeCells count="62">
    <mergeCell ref="C5:D6"/>
    <mergeCell ref="A1:M2"/>
    <mergeCell ref="A3:M4"/>
    <mergeCell ref="A5:B6"/>
    <mergeCell ref="I5:J6"/>
    <mergeCell ref="K5:M6"/>
    <mergeCell ref="E5:F6"/>
    <mergeCell ref="G5:H6"/>
    <mergeCell ref="A13:B13"/>
    <mergeCell ref="A14:B14"/>
    <mergeCell ref="A15:B15"/>
    <mergeCell ref="A7:B7"/>
    <mergeCell ref="A8:B8"/>
    <mergeCell ref="A9:B9"/>
    <mergeCell ref="A10:B10"/>
    <mergeCell ref="A11:B11"/>
    <mergeCell ref="A12:B12"/>
    <mergeCell ref="E10:F10"/>
    <mergeCell ref="C13:D13"/>
    <mergeCell ref="C14:D14"/>
    <mergeCell ref="C15:D15"/>
    <mergeCell ref="C7:D7"/>
    <mergeCell ref="C8:D8"/>
    <mergeCell ref="C9:D9"/>
    <mergeCell ref="C10:D10"/>
    <mergeCell ref="C11:D11"/>
    <mergeCell ref="C12:D12"/>
    <mergeCell ref="E7:F7"/>
    <mergeCell ref="E8:F8"/>
    <mergeCell ref="E9:F9"/>
    <mergeCell ref="E11:F11"/>
    <mergeCell ref="E12:F12"/>
    <mergeCell ref="E13:F13"/>
    <mergeCell ref="E14:F14"/>
    <mergeCell ref="E15:F15"/>
    <mergeCell ref="G12:H12"/>
    <mergeCell ref="G13:H13"/>
    <mergeCell ref="G14:H14"/>
    <mergeCell ref="G15:H15"/>
    <mergeCell ref="G7:H7"/>
    <mergeCell ref="G8:H8"/>
    <mergeCell ref="G9:H9"/>
    <mergeCell ref="G10:H10"/>
    <mergeCell ref="G11:H11"/>
    <mergeCell ref="I13:J13"/>
    <mergeCell ref="I14:J14"/>
    <mergeCell ref="I15:J15"/>
    <mergeCell ref="I7:J7"/>
    <mergeCell ref="I8:J8"/>
    <mergeCell ref="I9:J9"/>
    <mergeCell ref="I10:J10"/>
    <mergeCell ref="I11:J11"/>
    <mergeCell ref="I12:J12"/>
    <mergeCell ref="K14:M14"/>
    <mergeCell ref="K15:M15"/>
    <mergeCell ref="K7:M7"/>
    <mergeCell ref="K8:M8"/>
    <mergeCell ref="K9:M9"/>
    <mergeCell ref="K10:M10"/>
    <mergeCell ref="K11:M11"/>
    <mergeCell ref="K12:M12"/>
    <mergeCell ref="K13:M13"/>
  </mergeCells>
  <conditionalFormatting sqref="K7:M15">
    <cfRule type="containsText" dxfId="5" priority="1" operator="containsText" text="NOT">
      <formula>NOT(ISERROR(SEARCH("NOT",K7)))</formula>
    </cfRule>
  </conditionalFormatting>
  <dataValidations count="1">
    <dataValidation type="list" allowBlank="1" showInputMessage="1" showErrorMessage="1" sqref="C7:D15 G7:J15" xr:uid="{B238DEB8-153D-49F8-A089-E463C6FC8C58}">
      <formula1>$Q$1:$Q$2</formula1>
    </dataValidation>
  </dataValidation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249977111117893"/>
    <pageSetUpPr fitToPage="1"/>
  </sheetPr>
  <dimension ref="A1:O57"/>
  <sheetViews>
    <sheetView workbookViewId="0">
      <pane ySplit="2" topLeftCell="A3" activePane="bottomLeft" state="frozen"/>
      <selection activeCell="A25" sqref="A25:C25"/>
      <selection pane="bottomLeft" activeCell="B3" sqref="B3:B7"/>
    </sheetView>
  </sheetViews>
  <sheetFormatPr defaultColWidth="9.109375" defaultRowHeight="14.4" x14ac:dyDescent="0.3"/>
  <cols>
    <col min="1" max="1" width="51.109375" style="14" customWidth="1"/>
    <col min="2" max="2" width="23.44140625" style="22" customWidth="1"/>
    <col min="3" max="3" width="15.33203125" style="15" hidden="1" customWidth="1"/>
    <col min="4" max="4" width="60" style="14" customWidth="1"/>
    <col min="5" max="5" width="5.21875" style="13" hidden="1" customWidth="1"/>
    <col min="6" max="6" width="19.5546875" style="13" hidden="1" customWidth="1"/>
    <col min="7" max="7" width="9.109375" style="13" hidden="1" customWidth="1"/>
    <col min="8" max="8" width="2" style="13" hidden="1" customWidth="1"/>
    <col min="9" max="9" width="3.109375" style="13" hidden="1" customWidth="1"/>
    <col min="10" max="10" width="3.88671875" style="13" hidden="1" customWidth="1"/>
    <col min="11" max="11" width="4.5546875" style="13" hidden="1" customWidth="1"/>
    <col min="12" max="12" width="11.6640625" style="13" hidden="1" customWidth="1"/>
    <col min="13" max="13" width="11.109375" style="13" hidden="1" customWidth="1"/>
    <col min="14" max="15" width="9.109375" style="13" hidden="1" customWidth="1"/>
    <col min="16" max="21" width="9.109375" style="13" customWidth="1"/>
    <col min="22" max="16384" width="9.109375" style="13"/>
  </cols>
  <sheetData>
    <row r="1" spans="1:13" ht="24" customHeight="1" x14ac:dyDescent="0.3">
      <c r="A1" s="505" t="s">
        <v>202</v>
      </c>
      <c r="B1" s="506"/>
      <c r="C1" s="506"/>
      <c r="D1" s="507"/>
      <c r="G1" s="13" t="s">
        <v>65</v>
      </c>
      <c r="I1" s="13">
        <v>1</v>
      </c>
      <c r="L1" s="226" t="s">
        <v>212</v>
      </c>
      <c r="M1" s="209">
        <f>ROUND(D55,2)</f>
        <v>355.9</v>
      </c>
    </row>
    <row r="2" spans="1:13" ht="48" customHeight="1" thickBot="1" x14ac:dyDescent="0.35">
      <c r="A2" s="65" t="s">
        <v>26</v>
      </c>
      <c r="B2" s="93" t="s">
        <v>67</v>
      </c>
      <c r="C2" s="60"/>
      <c r="D2" s="66" t="s">
        <v>25</v>
      </c>
      <c r="E2" s="224"/>
      <c r="F2" s="60" t="s">
        <v>27</v>
      </c>
      <c r="G2" s="224" t="s">
        <v>66</v>
      </c>
      <c r="H2" s="224"/>
      <c r="I2" s="224">
        <v>0</v>
      </c>
      <c r="J2" s="224"/>
      <c r="L2" s="226" t="s">
        <v>213</v>
      </c>
      <c r="M2" s="209">
        <f>ROUND(M1*1.35,2)</f>
        <v>480.47</v>
      </c>
    </row>
    <row r="3" spans="1:13" ht="14.55" customHeight="1" x14ac:dyDescent="0.3">
      <c r="A3" s="516" t="s">
        <v>28</v>
      </c>
      <c r="B3" s="519"/>
      <c r="C3" s="522">
        <f>B50*B3</f>
        <v>0</v>
      </c>
      <c r="D3" s="55" t="s">
        <v>71</v>
      </c>
      <c r="F3" s="534">
        <f>B50*B3</f>
        <v>0</v>
      </c>
      <c r="L3" s="226" t="s">
        <v>214</v>
      </c>
      <c r="M3" s="209">
        <f>ROUND(M2*1.35,2)</f>
        <v>648.63</v>
      </c>
    </row>
    <row r="4" spans="1:13" x14ac:dyDescent="0.3">
      <c r="A4" s="517"/>
      <c r="B4" s="520"/>
      <c r="C4" s="523"/>
      <c r="D4" s="55" t="s">
        <v>287</v>
      </c>
      <c r="F4" s="535"/>
    </row>
    <row r="5" spans="1:13" x14ac:dyDescent="0.3">
      <c r="A5" s="517"/>
      <c r="B5" s="520"/>
      <c r="C5" s="523"/>
      <c r="D5" s="55" t="s">
        <v>288</v>
      </c>
      <c r="F5" s="535"/>
    </row>
    <row r="6" spans="1:13" x14ac:dyDescent="0.3">
      <c r="A6" s="517"/>
      <c r="B6" s="520"/>
      <c r="C6" s="523"/>
      <c r="D6" s="55" t="s">
        <v>72</v>
      </c>
      <c r="F6" s="535"/>
    </row>
    <row r="7" spans="1:13" x14ac:dyDescent="0.3">
      <c r="A7" s="518"/>
      <c r="B7" s="521"/>
      <c r="C7" s="524"/>
      <c r="D7" s="56" t="s">
        <v>73</v>
      </c>
      <c r="E7" s="224"/>
      <c r="F7" s="536"/>
      <c r="G7" s="224"/>
      <c r="H7" s="224"/>
      <c r="I7" s="224"/>
      <c r="J7" s="224"/>
    </row>
    <row r="8" spans="1:13" ht="15.75" customHeight="1" x14ac:dyDescent="0.3">
      <c r="A8" s="525" t="s">
        <v>29</v>
      </c>
      <c r="B8" s="526"/>
      <c r="C8" s="527">
        <f>2*B50*B8</f>
        <v>0</v>
      </c>
      <c r="D8" s="55" t="s">
        <v>71</v>
      </c>
      <c r="F8" s="537">
        <f>2*B50*B8</f>
        <v>0</v>
      </c>
    </row>
    <row r="9" spans="1:13" x14ac:dyDescent="0.3">
      <c r="A9" s="517"/>
      <c r="B9" s="520"/>
      <c r="C9" s="528"/>
      <c r="D9" s="55" t="s">
        <v>287</v>
      </c>
      <c r="F9" s="538"/>
    </row>
    <row r="10" spans="1:13" x14ac:dyDescent="0.3">
      <c r="A10" s="517"/>
      <c r="B10" s="520"/>
      <c r="C10" s="528"/>
      <c r="D10" s="55" t="s">
        <v>288</v>
      </c>
      <c r="F10" s="538"/>
    </row>
    <row r="11" spans="1:13" x14ac:dyDescent="0.3">
      <c r="A11" s="517"/>
      <c r="B11" s="520"/>
      <c r="C11" s="528"/>
      <c r="D11" s="55" t="s">
        <v>72</v>
      </c>
      <c r="F11" s="538"/>
    </row>
    <row r="12" spans="1:13" x14ac:dyDescent="0.3">
      <c r="A12" s="518"/>
      <c r="B12" s="521"/>
      <c r="C12" s="529"/>
      <c r="D12" s="56" t="s">
        <v>73</v>
      </c>
      <c r="E12" s="224"/>
      <c r="F12" s="538"/>
      <c r="G12" s="224"/>
      <c r="H12" s="224"/>
      <c r="I12" s="224"/>
      <c r="J12" s="224"/>
    </row>
    <row r="13" spans="1:13" ht="12.6" hidden="1" customHeight="1" x14ac:dyDescent="0.3">
      <c r="A13" s="53" t="s">
        <v>30</v>
      </c>
      <c r="B13" s="120">
        <v>3</v>
      </c>
      <c r="C13" s="235">
        <f>SUM((B50*0.083*7)+(B51*0.083*7))*B13</f>
        <v>355.90316999999999</v>
      </c>
      <c r="D13" s="57" t="s">
        <v>74</v>
      </c>
      <c r="F13" s="231">
        <f>SUM((B50*0.083*7)+(B51*0.083*7))*B13</f>
        <v>355.90316999999999</v>
      </c>
    </row>
    <row r="14" spans="1:13" x14ac:dyDescent="0.3">
      <c r="A14" s="53" t="s">
        <v>31</v>
      </c>
      <c r="B14" s="120"/>
      <c r="C14" s="235">
        <f>B50*B14</f>
        <v>0</v>
      </c>
      <c r="D14" s="57" t="s">
        <v>75</v>
      </c>
      <c r="E14" s="224"/>
      <c r="F14" s="231">
        <f>B50*B14</f>
        <v>0</v>
      </c>
      <c r="G14" s="224"/>
      <c r="H14" s="224"/>
      <c r="I14" s="224"/>
      <c r="J14" s="224"/>
    </row>
    <row r="15" spans="1:13" x14ac:dyDescent="0.3">
      <c r="A15" s="53" t="s">
        <v>32</v>
      </c>
      <c r="B15" s="120"/>
      <c r="C15" s="235">
        <f>B50*E15*2</f>
        <v>0</v>
      </c>
      <c r="D15" s="58" t="s">
        <v>64</v>
      </c>
      <c r="E15" s="225">
        <f>IF(B15="Yes",1,0)</f>
        <v>0</v>
      </c>
      <c r="F15" s="231">
        <f>B50*E15*2</f>
        <v>0</v>
      </c>
      <c r="G15" s="225"/>
      <c r="H15" s="225"/>
      <c r="I15" s="225"/>
      <c r="J15" s="225"/>
    </row>
    <row r="16" spans="1:13" x14ac:dyDescent="0.3">
      <c r="A16" s="53" t="s">
        <v>306</v>
      </c>
      <c r="B16" s="120"/>
      <c r="C16" s="235">
        <f>B50*E16</f>
        <v>0</v>
      </c>
      <c r="D16" s="58" t="s">
        <v>64</v>
      </c>
      <c r="E16" s="225">
        <f t="shared" ref="E16:E19" si="0">IF(B16="Yes",1,0)</f>
        <v>0</v>
      </c>
      <c r="F16" s="231">
        <f>B50*E16</f>
        <v>0</v>
      </c>
      <c r="G16" s="225"/>
      <c r="H16" s="225"/>
      <c r="I16" s="225"/>
      <c r="J16" s="225"/>
    </row>
    <row r="17" spans="1:10" hidden="1" x14ac:dyDescent="0.3">
      <c r="A17" s="53" t="s">
        <v>33</v>
      </c>
      <c r="B17" s="120" t="s">
        <v>66</v>
      </c>
      <c r="C17" s="235">
        <f>B50*0.5*E17</f>
        <v>0</v>
      </c>
      <c r="D17" s="58" t="s">
        <v>64</v>
      </c>
      <c r="E17" s="13">
        <f t="shared" si="0"/>
        <v>0</v>
      </c>
      <c r="F17" s="231"/>
    </row>
    <row r="18" spans="1:10" x14ac:dyDescent="0.3">
      <c r="A18" s="53" t="s">
        <v>34</v>
      </c>
      <c r="B18" s="120"/>
      <c r="C18" s="235">
        <v>0</v>
      </c>
      <c r="D18" s="58" t="s">
        <v>64</v>
      </c>
      <c r="E18" s="224">
        <f t="shared" si="0"/>
        <v>0</v>
      </c>
      <c r="F18" s="231">
        <v>0</v>
      </c>
      <c r="G18" s="224"/>
      <c r="H18" s="224"/>
      <c r="I18" s="224"/>
      <c r="J18" s="224"/>
    </row>
    <row r="19" spans="1:10" x14ac:dyDescent="0.3">
      <c r="A19" s="54" t="s">
        <v>35</v>
      </c>
      <c r="B19" s="120"/>
      <c r="C19" s="235">
        <v>0</v>
      </c>
      <c r="D19" s="59" t="s">
        <v>64</v>
      </c>
      <c r="E19" s="225">
        <f t="shared" si="0"/>
        <v>0</v>
      </c>
      <c r="F19" s="231">
        <v>0</v>
      </c>
      <c r="G19" s="225"/>
      <c r="H19" s="225"/>
      <c r="I19" s="225"/>
      <c r="J19" s="225"/>
    </row>
    <row r="20" spans="1:10" x14ac:dyDescent="0.3">
      <c r="A20" s="61"/>
      <c r="B20" s="62"/>
      <c r="C20" s="63"/>
      <c r="D20" s="64"/>
      <c r="E20" s="225"/>
      <c r="F20" s="225"/>
      <c r="G20" s="225"/>
      <c r="H20" s="225"/>
      <c r="I20" s="225"/>
      <c r="J20" s="225"/>
    </row>
    <row r="21" spans="1:10" ht="28.8" x14ac:dyDescent="0.3">
      <c r="A21" s="53" t="s">
        <v>284</v>
      </c>
      <c r="B21" s="120"/>
      <c r="C21" s="235">
        <f>B21*B50</f>
        <v>0</v>
      </c>
      <c r="D21" s="57" t="s">
        <v>289</v>
      </c>
      <c r="E21" s="225"/>
      <c r="F21" s="230">
        <f>B21*B50</f>
        <v>0</v>
      </c>
      <c r="G21" s="225"/>
      <c r="H21" s="225"/>
      <c r="I21" s="225"/>
      <c r="J21" s="225"/>
    </row>
    <row r="22" spans="1:10" x14ac:dyDescent="0.3">
      <c r="A22" s="53" t="s">
        <v>36</v>
      </c>
      <c r="B22" s="120"/>
      <c r="C22" s="235">
        <f>0.5*B50*E22</f>
        <v>0</v>
      </c>
      <c r="D22" s="58" t="s">
        <v>64</v>
      </c>
      <c r="E22" s="225">
        <f t="shared" ref="E22" si="1">IF(B22="Yes",1,0)</f>
        <v>0</v>
      </c>
      <c r="F22" s="230">
        <f>0.5*B50*E22</f>
        <v>0</v>
      </c>
      <c r="G22" s="225"/>
      <c r="H22" s="225"/>
      <c r="I22" s="225"/>
      <c r="J22" s="225"/>
    </row>
    <row r="23" spans="1:10" ht="28.8" x14ac:dyDescent="0.3">
      <c r="A23" s="53" t="s">
        <v>37</v>
      </c>
      <c r="B23" s="181"/>
      <c r="C23" s="235">
        <f>0.5*B50*E23</f>
        <v>0</v>
      </c>
      <c r="D23" s="58" t="s">
        <v>64</v>
      </c>
      <c r="E23" s="225">
        <f>IF(B23="Yes",1,0)</f>
        <v>0</v>
      </c>
      <c r="F23" s="230">
        <f>0.5*B50*E23</f>
        <v>0</v>
      </c>
      <c r="G23" s="225"/>
      <c r="H23" s="225"/>
      <c r="I23" s="225"/>
      <c r="J23" s="225"/>
    </row>
    <row r="24" spans="1:10" ht="28.8" x14ac:dyDescent="0.3">
      <c r="A24" s="53" t="s">
        <v>38</v>
      </c>
      <c r="B24" s="120"/>
      <c r="C24" s="235">
        <f>B24*(B50+B51)</f>
        <v>0</v>
      </c>
      <c r="D24" s="58" t="s">
        <v>64</v>
      </c>
      <c r="E24" s="225">
        <f>IF(B24="Yes",1,0)</f>
        <v>0</v>
      </c>
      <c r="F24" s="230">
        <f>E24*(B50+B51)</f>
        <v>0</v>
      </c>
      <c r="G24" s="225"/>
      <c r="H24" s="225"/>
      <c r="I24" s="225"/>
      <c r="J24" s="225"/>
    </row>
    <row r="25" spans="1:10" ht="43.2" hidden="1" x14ac:dyDescent="0.3">
      <c r="A25" s="53" t="s">
        <v>39</v>
      </c>
      <c r="B25" s="120"/>
      <c r="C25" s="235">
        <f>B25*0</f>
        <v>0</v>
      </c>
      <c r="D25" s="57" t="s">
        <v>68</v>
      </c>
      <c r="E25" s="225"/>
      <c r="F25" s="230">
        <f>B25*B51*2</f>
        <v>0</v>
      </c>
      <c r="G25" s="225"/>
      <c r="H25" s="225"/>
      <c r="I25" s="225"/>
      <c r="J25" s="225"/>
    </row>
    <row r="26" spans="1:10" ht="23.4" customHeight="1" x14ac:dyDescent="0.3">
      <c r="A26" s="53" t="s">
        <v>40</v>
      </c>
      <c r="B26" s="120"/>
      <c r="C26" s="235">
        <f>E26*B50</f>
        <v>0</v>
      </c>
      <c r="D26" s="58" t="s">
        <v>64</v>
      </c>
      <c r="E26" s="225">
        <f t="shared" ref="E26:E27" si="2">IF(B26="Yes",1,0)</f>
        <v>0</v>
      </c>
      <c r="F26" s="230">
        <f>E26*B50</f>
        <v>0</v>
      </c>
      <c r="G26" s="225"/>
      <c r="H26" s="225"/>
      <c r="I26" s="225"/>
      <c r="J26" s="225"/>
    </row>
    <row r="27" spans="1:10" ht="28.8" x14ac:dyDescent="0.3">
      <c r="A27" s="53" t="s">
        <v>41</v>
      </c>
      <c r="B27" s="120"/>
      <c r="C27" s="236">
        <v>0</v>
      </c>
      <c r="D27" s="58" t="s">
        <v>64</v>
      </c>
      <c r="E27" s="225">
        <f t="shared" si="2"/>
        <v>0</v>
      </c>
      <c r="F27" s="229">
        <v>0</v>
      </c>
      <c r="G27" s="225"/>
      <c r="H27" s="225"/>
      <c r="I27" s="225"/>
      <c r="J27" s="225"/>
    </row>
    <row r="28" spans="1:10" ht="43.2" x14ac:dyDescent="0.3">
      <c r="A28" s="53" t="s">
        <v>69</v>
      </c>
      <c r="B28" s="237"/>
      <c r="C28" s="238">
        <f>(B50 + (B28-1)*0.5*B50)*E27</f>
        <v>0</v>
      </c>
      <c r="D28" s="239" t="s">
        <v>76</v>
      </c>
      <c r="E28" s="225"/>
      <c r="F28" s="230">
        <f>(B50 + (B28-1)*0.5*B50)*E27</f>
        <v>0</v>
      </c>
      <c r="G28" s="225"/>
      <c r="H28" s="225"/>
      <c r="I28" s="225"/>
      <c r="J28" s="225"/>
    </row>
    <row r="29" spans="1:10" ht="35.4" hidden="1" customHeight="1" x14ac:dyDescent="0.3">
      <c r="A29" s="245" t="s">
        <v>234</v>
      </c>
      <c r="B29" s="539"/>
      <c r="C29" s="540"/>
      <c r="D29" s="541"/>
      <c r="E29" s="225"/>
      <c r="F29" s="229">
        <v>0</v>
      </c>
      <c r="G29" s="225"/>
      <c r="H29" s="225"/>
      <c r="I29" s="225"/>
      <c r="J29" s="225"/>
    </row>
    <row r="30" spans="1:10" x14ac:dyDescent="0.3">
      <c r="A30" s="542"/>
      <c r="B30" s="543"/>
      <c r="C30" s="543"/>
      <c r="D30" s="543"/>
    </row>
    <row r="31" spans="1:10" ht="17.25" customHeight="1" x14ac:dyDescent="0.35">
      <c r="A31" s="510" t="s">
        <v>43</v>
      </c>
      <c r="B31" s="510"/>
      <c r="C31" s="510"/>
      <c r="D31" s="511"/>
      <c r="E31" s="224"/>
      <c r="F31" s="229"/>
      <c r="G31" s="224"/>
      <c r="H31" s="224"/>
      <c r="I31" s="224"/>
      <c r="J31" s="224"/>
    </row>
    <row r="32" spans="1:10" ht="28.8" x14ac:dyDescent="0.3">
      <c r="A32" s="53" t="s">
        <v>235</v>
      </c>
      <c r="B32" s="120"/>
      <c r="C32" s="235">
        <v>0</v>
      </c>
      <c r="D32" s="58" t="s">
        <v>64</v>
      </c>
      <c r="E32" s="225">
        <f t="shared" ref="E32" si="3">IF(B32="Yes",1,0)</f>
        <v>0</v>
      </c>
      <c r="F32" s="229">
        <v>0</v>
      </c>
      <c r="G32" s="225"/>
      <c r="H32" s="225"/>
      <c r="I32" s="225"/>
      <c r="J32" s="225"/>
    </row>
    <row r="33" spans="1:11" ht="28.8" x14ac:dyDescent="0.3">
      <c r="A33" s="53" t="s">
        <v>44</v>
      </c>
      <c r="B33" s="120"/>
      <c r="C33" s="235">
        <f>B33*B50</f>
        <v>0</v>
      </c>
      <c r="D33" s="57" t="s">
        <v>70</v>
      </c>
      <c r="E33" s="225"/>
      <c r="F33" s="230">
        <f>B33*B50</f>
        <v>0</v>
      </c>
      <c r="G33" s="225"/>
      <c r="H33" s="225"/>
      <c r="I33" s="225"/>
      <c r="J33" s="225"/>
    </row>
    <row r="34" spans="1:11" ht="15.6" x14ac:dyDescent="0.3">
      <c r="A34" s="513" t="s">
        <v>45</v>
      </c>
      <c r="B34" s="514"/>
      <c r="C34" s="514"/>
      <c r="D34" s="515"/>
      <c r="E34" s="225"/>
      <c r="F34" s="229"/>
      <c r="G34" s="225"/>
      <c r="H34" s="225"/>
      <c r="I34" s="225"/>
      <c r="J34" s="225"/>
    </row>
    <row r="35" spans="1:11" ht="28.8" x14ac:dyDescent="0.3">
      <c r="A35" s="53" t="s">
        <v>286</v>
      </c>
      <c r="B35" s="121"/>
      <c r="C35" s="236">
        <f>E35*0</f>
        <v>0</v>
      </c>
      <c r="D35" s="58" t="s">
        <v>64</v>
      </c>
      <c r="E35" s="225">
        <f t="shared" ref="E35:E37" si="4">IF(B35="Yes",1,0)</f>
        <v>0</v>
      </c>
      <c r="F35" s="230">
        <f>E35*B50</f>
        <v>0</v>
      </c>
      <c r="G35" s="225"/>
      <c r="H35" s="225"/>
      <c r="I35" s="225"/>
      <c r="J35" s="225"/>
    </row>
    <row r="36" spans="1:11" ht="28.8" x14ac:dyDescent="0.3">
      <c r="A36" s="53" t="s">
        <v>46</v>
      </c>
      <c r="B36" s="121"/>
      <c r="C36" s="236">
        <f>E36*B50</f>
        <v>0</v>
      </c>
      <c r="D36" s="58" t="s">
        <v>64</v>
      </c>
      <c r="E36" s="225">
        <f t="shared" si="4"/>
        <v>0</v>
      </c>
      <c r="F36" s="230">
        <f>2*E36*B50</f>
        <v>0</v>
      </c>
      <c r="G36" s="225"/>
      <c r="H36" s="225"/>
      <c r="I36" s="225"/>
      <c r="J36" s="225"/>
    </row>
    <row r="37" spans="1:11" ht="31.2" customHeight="1" x14ac:dyDescent="0.3">
      <c r="A37" s="53" t="s">
        <v>285</v>
      </c>
      <c r="B37" s="248"/>
      <c r="C37" s="249">
        <f>4*E37*B50 + 2*E37*B51</f>
        <v>0</v>
      </c>
      <c r="D37" s="57" t="s">
        <v>77</v>
      </c>
      <c r="E37" s="225">
        <f t="shared" si="4"/>
        <v>0</v>
      </c>
      <c r="F37" s="230">
        <f>4*E37*B50 + 2*E37*B51</f>
        <v>0</v>
      </c>
      <c r="G37" s="225"/>
      <c r="H37" s="225"/>
      <c r="I37" s="225"/>
      <c r="J37" s="225"/>
    </row>
    <row r="38" spans="1:11" ht="10.199999999999999" hidden="1" customHeight="1" x14ac:dyDescent="0.3">
      <c r="A38" s="241" t="s">
        <v>42</v>
      </c>
      <c r="B38" s="544"/>
      <c r="C38" s="545"/>
      <c r="D38" s="546"/>
      <c r="E38" s="225"/>
      <c r="F38" s="229">
        <v>0</v>
      </c>
      <c r="G38" s="225"/>
      <c r="H38" s="225"/>
      <c r="I38" s="225"/>
      <c r="J38" s="225"/>
      <c r="K38" s="240"/>
    </row>
    <row r="39" spans="1:11" x14ac:dyDescent="0.3">
      <c r="A39" s="533"/>
      <c r="B39" s="447"/>
      <c r="C39" s="447"/>
      <c r="D39" s="447"/>
    </row>
    <row r="40" spans="1:11" ht="18.75" customHeight="1" x14ac:dyDescent="0.35">
      <c r="A40" s="510" t="s">
        <v>47</v>
      </c>
      <c r="B40" s="510"/>
      <c r="C40" s="510"/>
      <c r="D40" s="512"/>
      <c r="E40" s="224"/>
      <c r="F40" s="224"/>
      <c r="G40" s="224"/>
      <c r="H40" s="224"/>
      <c r="I40" s="224"/>
      <c r="J40" s="224"/>
    </row>
    <row r="41" spans="1:11" ht="43.2" x14ac:dyDescent="0.3">
      <c r="A41" s="53" t="s">
        <v>48</v>
      </c>
      <c r="B41" s="120"/>
      <c r="C41" s="235"/>
      <c r="D41" s="58" t="s">
        <v>64</v>
      </c>
      <c r="E41" s="225"/>
      <c r="F41" s="227">
        <v>0</v>
      </c>
      <c r="G41" s="225"/>
      <c r="H41" s="225"/>
      <c r="I41" s="225"/>
      <c r="J41" s="225"/>
    </row>
    <row r="42" spans="1:11" ht="28.8" x14ac:dyDescent="0.3">
      <c r="A42" s="53" t="s">
        <v>49</v>
      </c>
      <c r="B42" s="120"/>
      <c r="C42" s="235">
        <f>B52*B42</f>
        <v>0</v>
      </c>
      <c r="D42" s="58" t="s">
        <v>50</v>
      </c>
      <c r="E42" s="225"/>
      <c r="F42" s="232">
        <f>B52*B42*3</f>
        <v>0</v>
      </c>
      <c r="G42" s="225"/>
      <c r="H42" s="225"/>
      <c r="I42" s="225"/>
      <c r="J42" s="225"/>
    </row>
    <row r="43" spans="1:11" ht="72" x14ac:dyDescent="0.3">
      <c r="A43" s="53" t="s">
        <v>51</v>
      </c>
      <c r="B43" s="120"/>
      <c r="C43" s="235">
        <f>B50*B43</f>
        <v>0</v>
      </c>
      <c r="D43" s="57" t="s">
        <v>78</v>
      </c>
      <c r="E43" s="225"/>
      <c r="F43" s="232">
        <f>B50*B43</f>
        <v>0</v>
      </c>
      <c r="G43" s="225"/>
      <c r="H43" s="225"/>
      <c r="I43" s="225"/>
      <c r="J43" s="225"/>
    </row>
    <row r="44" spans="1:11" ht="28.8" x14ac:dyDescent="0.3">
      <c r="A44" s="53" t="s">
        <v>52</v>
      </c>
      <c r="B44" s="120"/>
      <c r="C44" s="235">
        <f>2*B50*E44</f>
        <v>0</v>
      </c>
      <c r="D44" s="58" t="s">
        <v>64</v>
      </c>
      <c r="E44" s="225">
        <f t="shared" ref="E44:E45" si="5">IF(B44="Yes",1,0)</f>
        <v>0</v>
      </c>
      <c r="F44" s="232">
        <f>2*B50*E44</f>
        <v>0</v>
      </c>
      <c r="G44" s="225"/>
      <c r="H44" s="225"/>
      <c r="I44" s="225"/>
      <c r="J44" s="225"/>
    </row>
    <row r="45" spans="1:11" ht="43.2" x14ac:dyDescent="0.3">
      <c r="A45" s="53" t="s">
        <v>53</v>
      </c>
      <c r="B45" s="242"/>
      <c r="C45" s="243">
        <f>4*B50*E45</f>
        <v>0</v>
      </c>
      <c r="D45" s="244" t="s">
        <v>64</v>
      </c>
      <c r="E45" s="225">
        <f t="shared" si="5"/>
        <v>0</v>
      </c>
      <c r="F45" s="232">
        <f>4*B50*E45</f>
        <v>0</v>
      </c>
      <c r="G45" s="225"/>
      <c r="H45" s="225"/>
      <c r="I45" s="225"/>
      <c r="J45" s="225"/>
    </row>
    <row r="46" spans="1:11" ht="88.2" customHeight="1" x14ac:dyDescent="0.3">
      <c r="A46" s="246" t="s">
        <v>234</v>
      </c>
      <c r="B46" s="530"/>
      <c r="C46" s="531"/>
      <c r="D46" s="532"/>
      <c r="F46" s="228">
        <v>0</v>
      </c>
    </row>
    <row r="47" spans="1:11" hidden="1" x14ac:dyDescent="0.3">
      <c r="A47" s="533"/>
      <c r="B47" s="447"/>
      <c r="C47" s="447"/>
      <c r="D47" s="447"/>
    </row>
    <row r="48" spans="1:11" ht="18.75" hidden="1" customHeight="1" x14ac:dyDescent="0.35">
      <c r="A48" s="508" t="s">
        <v>54</v>
      </c>
      <c r="B48" s="508"/>
      <c r="C48" s="508"/>
      <c r="D48" s="16"/>
    </row>
    <row r="49" spans="1:10" ht="15.6" hidden="1" x14ac:dyDescent="0.3">
      <c r="A49" s="17" t="s">
        <v>55</v>
      </c>
      <c r="B49" s="23" t="s">
        <v>56</v>
      </c>
      <c r="C49" s="18"/>
      <c r="D49" s="19"/>
    </row>
    <row r="50" spans="1:10" ht="15.6" hidden="1" x14ac:dyDescent="0.3">
      <c r="A50" s="17" t="s">
        <v>57</v>
      </c>
      <c r="B50" s="24">
        <f>127.8*1.05</f>
        <v>134.19</v>
      </c>
      <c r="C50" s="18"/>
      <c r="D50" s="20" t="s">
        <v>58</v>
      </c>
    </row>
    <row r="51" spans="1:10" ht="15.6" hidden="1" x14ac:dyDescent="0.3">
      <c r="A51" s="17" t="s">
        <v>59</v>
      </c>
      <c r="B51" s="24">
        <f>56*1.25</f>
        <v>70</v>
      </c>
      <c r="C51" s="18"/>
      <c r="D51" s="20" t="s">
        <v>60</v>
      </c>
    </row>
    <row r="52" spans="1:10" ht="15.6" hidden="1" x14ac:dyDescent="0.3">
      <c r="A52" s="17" t="s">
        <v>61</v>
      </c>
      <c r="B52" s="24">
        <f>127.8*1.05</f>
        <v>134.19</v>
      </c>
      <c r="C52" s="18"/>
      <c r="D52" s="20" t="s">
        <v>62</v>
      </c>
    </row>
    <row r="53" spans="1:10" hidden="1" x14ac:dyDescent="0.3"/>
    <row r="54" spans="1:10" hidden="1" x14ac:dyDescent="0.3"/>
    <row r="55" spans="1:10" ht="21" hidden="1" x14ac:dyDescent="0.4">
      <c r="A55" s="509" t="s">
        <v>63</v>
      </c>
      <c r="B55" s="509"/>
      <c r="C55" s="21"/>
      <c r="D55" s="21">
        <f>SUM(F3:F19, F21:F29,F32:F38,F41:F46)</f>
        <v>355.90316999999999</v>
      </c>
      <c r="F55" s="234">
        <f>SUM(F3:F54)</f>
        <v>355.90316999999999</v>
      </c>
    </row>
    <row r="56" spans="1:10" hidden="1" x14ac:dyDescent="0.3">
      <c r="E56" s="233"/>
      <c r="F56" s="233"/>
      <c r="G56" s="233"/>
      <c r="H56" s="233"/>
      <c r="I56" s="233"/>
      <c r="J56" s="233"/>
    </row>
    <row r="57" spans="1:10" hidden="1" x14ac:dyDescent="0.3">
      <c r="A57" s="247"/>
      <c r="E57" s="233"/>
      <c r="F57" s="233"/>
      <c r="G57" s="233"/>
      <c r="H57" s="233"/>
      <c r="I57" s="233"/>
      <c r="J57" s="233"/>
    </row>
  </sheetData>
  <sheetProtection algorithmName="SHA-512" hashValue="zW0o/K5aMd4mEWd/ki31lazwSgzefhscG3LebSJZV6LAwporscgsscXcPyLZnBSLIwnAL0URKwIVuI9urBcJgQ==" saltValue="vA7QeTEtYLdVjq7vuqye3Q==" spinCount="100000" sheet="1" selectLockedCells="1"/>
  <mergeCells count="20">
    <mergeCell ref="F3:F7"/>
    <mergeCell ref="F8:F12"/>
    <mergeCell ref="B29:D29"/>
    <mergeCell ref="A30:D30"/>
    <mergeCell ref="A39:D39"/>
    <mergeCell ref="B38:D38"/>
    <mergeCell ref="A1:D1"/>
    <mergeCell ref="A48:C48"/>
    <mergeCell ref="A55:B55"/>
    <mergeCell ref="A31:D31"/>
    <mergeCell ref="A40:D40"/>
    <mergeCell ref="A34:D34"/>
    <mergeCell ref="A3:A7"/>
    <mergeCell ref="B3:B7"/>
    <mergeCell ref="C3:C7"/>
    <mergeCell ref="A8:A12"/>
    <mergeCell ref="B8:B12"/>
    <mergeCell ref="C8:C12"/>
    <mergeCell ref="B46:D46"/>
    <mergeCell ref="A47:D47"/>
  </mergeCells>
  <conditionalFormatting sqref="A1 E1:XFD1 D48:XFD48 D50:XFD50 E55:XFD55 A3:B3 A49:XFD49 A51:XFD54 A56:XFD1048576 A34 E34:XFD34 A8:C8 E8:XFD8 A32:XFD33 A35:XFD37 A13:XFD22 A25:XFD28 C23:XFD23 A23:A24 A41:XFD45 A2:XFD2 D3:E7 E9:E12 G9:XFD12 G3:XFD7 A29:A31 E29:XFD31 B29 A38:A39 E38:XFD40 B38 A47 E46:XFD47 A46:B46 B24:XFD24">
    <cfRule type="containsText" dxfId="4" priority="6" operator="containsText" text="No selection required">
      <formula>NOT(ISERROR(SEARCH("No selection required",A1)))</formula>
    </cfRule>
  </conditionalFormatting>
  <conditionalFormatting sqref="A40">
    <cfRule type="containsText" dxfId="3" priority="5" operator="containsText" text="No selection required">
      <formula>NOT(ISERROR(SEARCH("No selection required",A40)))</formula>
    </cfRule>
  </conditionalFormatting>
  <conditionalFormatting sqref="A55">
    <cfRule type="containsText" dxfId="2" priority="4" operator="containsText" text="No selection required">
      <formula>NOT(ISERROR(SEARCH("No selection required",A55)))</formula>
    </cfRule>
  </conditionalFormatting>
  <conditionalFormatting sqref="A48">
    <cfRule type="containsText" dxfId="1" priority="3" operator="containsText" text="No selection required">
      <formula>NOT(ISERROR(SEARCH("No selection required",A48)))</formula>
    </cfRule>
  </conditionalFormatting>
  <conditionalFormatting sqref="D8:D12">
    <cfRule type="containsText" dxfId="0" priority="1" operator="containsText" text="No selection required">
      <formula>NOT(ISERROR(SEARCH("No selection required",D8)))</formula>
    </cfRule>
  </conditionalFormatting>
  <dataValidations count="7">
    <dataValidation type="list" allowBlank="1" showInputMessage="1" showErrorMessage="1" sqref="B32 B23" xr:uid="{00000000-0002-0000-0200-000000000000}">
      <formula1>$G$1:$G$2</formula1>
    </dataValidation>
    <dataValidation type="whole" allowBlank="1" showInputMessage="1" showErrorMessage="1" error="Refer to instructions column" sqref="B3:B12" xr:uid="{00000000-0002-0000-0200-000001000000}">
      <formula1>1</formula1>
      <formula2>5</formula2>
    </dataValidation>
    <dataValidation type="whole" allowBlank="1" showInputMessage="1" showErrorMessage="1" error="Refer to instructions column" sqref="B13" xr:uid="{00000000-0002-0000-0200-000002000000}">
      <formula1>1</formula1>
      <formula2>3</formula2>
    </dataValidation>
    <dataValidation type="whole" allowBlank="1" showInputMessage="1" showErrorMessage="1" error="Refer to instructions column" sqref="B14" xr:uid="{00000000-0002-0000-0200-000003000000}">
      <formula1>0</formula1>
      <formula2>4</formula2>
    </dataValidation>
    <dataValidation type="whole" allowBlank="1" showInputMessage="1" showErrorMessage="1" error="Refer to instructions column" sqref="B25" xr:uid="{00000000-0002-0000-0200-000004000000}">
      <formula1>0</formula1>
      <formula2>3</formula2>
    </dataValidation>
    <dataValidation type="whole" allowBlank="1" showInputMessage="1" showErrorMessage="1" sqref="B28 B42:B43" xr:uid="{00000000-0002-0000-0200-000005000000}">
      <formula1>0</formula1>
      <formula2>500</formula2>
    </dataValidation>
    <dataValidation type="list" allowBlank="1" showInputMessage="1" showErrorMessage="1" error="Yes or No" sqref="B15:B19 B26:B27 B35:B37 B41 B44:B45 B22 B24" xr:uid="{00000000-0002-0000-0200-000006000000}">
      <formula1>$G$1:$G$2</formula1>
    </dataValidation>
  </dataValidations>
  <pageMargins left="0.7" right="0.7" top="0.75" bottom="0.75" header="0.3" footer="0.3"/>
  <pageSetup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249977111117893"/>
    <pageSetUpPr fitToPage="1"/>
  </sheetPr>
  <dimension ref="A1:AH35"/>
  <sheetViews>
    <sheetView workbookViewId="0">
      <pane xSplit="4" ySplit="7" topLeftCell="E8" activePane="bottomRight" state="frozen"/>
      <selection activeCell="A25" sqref="A25:C25"/>
      <selection pane="topRight" activeCell="A25" sqref="A25:C25"/>
      <selection pane="bottomLeft" activeCell="A25" sqref="A25:C25"/>
      <selection pane="bottomRight" activeCell="A4" sqref="A4"/>
    </sheetView>
  </sheetViews>
  <sheetFormatPr defaultColWidth="8.77734375" defaultRowHeight="14.4" x14ac:dyDescent="0.3"/>
  <cols>
    <col min="1" max="1" width="25.77734375" customWidth="1"/>
    <col min="2" max="2" width="25.77734375" style="9" customWidth="1"/>
    <col min="3" max="3" width="25.77734375" style="315" customWidth="1"/>
    <col min="4" max="4" width="25.77734375" style="27" customWidth="1"/>
    <col min="5" max="5" width="4" style="27" hidden="1" customWidth="1"/>
    <col min="6" max="7" width="11" style="32" hidden="1" customWidth="1"/>
    <col min="8" max="11" width="8.77734375" style="32" hidden="1" customWidth="1"/>
    <col min="12" max="12" width="4" style="27" hidden="1" customWidth="1"/>
    <col min="13" max="13" width="3" style="27" hidden="1" customWidth="1"/>
    <col min="14" max="14" width="8.77734375" hidden="1" customWidth="1"/>
    <col min="15" max="15" width="13.77734375" hidden="1" customWidth="1"/>
    <col min="16" max="16" width="8.77734375" hidden="1" customWidth="1"/>
    <col min="17" max="17" width="5.109375" hidden="1" customWidth="1"/>
    <col min="18" max="18" width="3.109375" hidden="1" customWidth="1"/>
    <col min="19" max="20" width="8.77734375" style="9" hidden="1" customWidth="1"/>
    <col min="21" max="24" width="8.77734375" hidden="1" customWidth="1"/>
    <col min="25" max="25" width="11.6640625" hidden="1" customWidth="1"/>
    <col min="26" max="29" width="8.77734375" hidden="1" customWidth="1"/>
    <col min="30" max="30" width="11.6640625" hidden="1" customWidth="1"/>
    <col min="31" max="31" width="10.109375" hidden="1" customWidth="1"/>
    <col min="32" max="32" width="11.6640625" hidden="1" customWidth="1"/>
    <col min="33" max="34" width="8.77734375" hidden="1" customWidth="1"/>
    <col min="35" max="69" width="8.77734375" customWidth="1"/>
  </cols>
  <sheetData>
    <row r="1" spans="1:32" ht="12" customHeight="1" x14ac:dyDescent="0.3">
      <c r="A1" s="550" t="s">
        <v>171</v>
      </c>
      <c r="B1" s="550"/>
      <c r="C1" s="550"/>
      <c r="D1" s="550"/>
      <c r="E1" s="41"/>
      <c r="L1" s="34"/>
      <c r="M1" s="31">
        <v>1</v>
      </c>
      <c r="N1" s="31" t="s">
        <v>140</v>
      </c>
      <c r="O1" s="31" t="s">
        <v>132</v>
      </c>
      <c r="P1" s="31" t="s">
        <v>140</v>
      </c>
      <c r="Q1" s="9">
        <v>1</v>
      </c>
      <c r="R1" s="33"/>
      <c r="S1" s="31" t="s">
        <v>144</v>
      </c>
      <c r="T1" s="9">
        <v>3</v>
      </c>
      <c r="U1">
        <v>4</v>
      </c>
      <c r="W1" t="s">
        <v>65</v>
      </c>
      <c r="X1" s="11" t="str">
        <f>IF(K4=0,"",IF(K4&lt;5,"Tier 1",IF(K4&lt;7,"Tier 2",IF(K4&lt;9,"Tier 3",IF(K4&lt;11,"Tier 4",IF(K4&lt;14,"Tier 5","Tier 6"))))))</f>
        <v/>
      </c>
      <c r="Y1" s="69" t="str">
        <f>IF(X1="","",IF(AC1="Non-Industry",VLOOKUP(X1,AC11:AD16,2,FALSE)*'Protocol Cover Sheet'!Q16,IF(AC1="Industry",VLOOKUP(X1,AC11:AE16,3,FALSE)*'Protocol Cover Sheet'!Q16,IF(AC1="External",VLOOKUP(X1,AC11:AF16,4,FALSE)*'Protocol Cover Sheet'!Q16,0))))</f>
        <v/>
      </c>
      <c r="AC1" s="44">
        <f>'Estimate Details'!C1</f>
        <v>0</v>
      </c>
    </row>
    <row r="2" spans="1:32" ht="9.4499999999999993" customHeight="1" x14ac:dyDescent="0.3">
      <c r="A2" s="551"/>
      <c r="B2" s="551"/>
      <c r="C2" s="551"/>
      <c r="D2" s="551"/>
      <c r="E2" s="41"/>
      <c r="L2" s="34"/>
      <c r="M2" s="31">
        <v>2</v>
      </c>
      <c r="N2" s="31" t="s">
        <v>141</v>
      </c>
      <c r="O2" s="31" t="s">
        <v>146</v>
      </c>
      <c r="P2" s="31" t="s">
        <v>132</v>
      </c>
      <c r="Q2" s="9">
        <v>2</v>
      </c>
      <c r="R2" s="33"/>
      <c r="S2" s="31" t="s">
        <v>145</v>
      </c>
      <c r="T2" s="9">
        <v>5</v>
      </c>
      <c r="U2">
        <v>6</v>
      </c>
      <c r="W2" t="s">
        <v>66</v>
      </c>
    </row>
    <row r="3" spans="1:32" ht="28.2" customHeight="1" x14ac:dyDescent="0.3">
      <c r="A3" s="49" t="s">
        <v>130</v>
      </c>
      <c r="B3" s="49" t="s">
        <v>131</v>
      </c>
      <c r="C3" s="322" t="s">
        <v>281</v>
      </c>
      <c r="D3" s="50" t="s">
        <v>139</v>
      </c>
      <c r="E3" s="39"/>
      <c r="F3" s="36"/>
      <c r="G3" s="36"/>
      <c r="H3" s="2"/>
      <c r="I3" s="2"/>
      <c r="J3" s="2"/>
      <c r="K3" s="2"/>
      <c r="L3" s="33"/>
      <c r="M3" s="31">
        <v>3</v>
      </c>
      <c r="N3" s="9" t="s">
        <v>142</v>
      </c>
      <c r="O3" s="9" t="s">
        <v>143</v>
      </c>
      <c r="P3" s="9" t="s">
        <v>142</v>
      </c>
      <c r="Q3" s="9">
        <v>3</v>
      </c>
      <c r="R3" s="33"/>
      <c r="S3" s="9" t="s">
        <v>147</v>
      </c>
      <c r="T3" s="9">
        <v>7</v>
      </c>
      <c r="U3">
        <v>8</v>
      </c>
      <c r="AD3" s="44"/>
      <c r="AE3" s="31"/>
      <c r="AF3" s="31"/>
    </row>
    <row r="4" spans="1:32" ht="21" customHeight="1" x14ac:dyDescent="0.3">
      <c r="A4" s="143"/>
      <c r="B4" s="144"/>
      <c r="C4" s="144"/>
      <c r="D4" s="143"/>
      <c r="E4" s="42"/>
      <c r="F4" s="2" t="str">
        <f>IF(A4="","",A4)</f>
        <v/>
      </c>
      <c r="G4" s="2">
        <v>0</v>
      </c>
      <c r="H4" s="2">
        <f>IF(B4="",0,IF(B4="Minimal",1,IF(B4="Intensive",4,3)))</f>
        <v>0</v>
      </c>
      <c r="I4" s="2">
        <f>IF(C4="Yes",1,0)</f>
        <v>0</v>
      </c>
      <c r="J4" s="2">
        <f>IF(D4="",0,IF(D4=1,1,D4*2))</f>
        <v>0</v>
      </c>
      <c r="K4" s="2">
        <f>SUM(F4:J4)</f>
        <v>0</v>
      </c>
      <c r="L4" s="33"/>
      <c r="M4" s="31">
        <v>4</v>
      </c>
      <c r="N4" s="9"/>
      <c r="O4" s="31"/>
      <c r="P4" s="9"/>
      <c r="Q4" s="9">
        <v>4</v>
      </c>
      <c r="R4" s="33"/>
      <c r="S4" s="9" t="s">
        <v>148</v>
      </c>
      <c r="T4" s="9">
        <v>9</v>
      </c>
      <c r="U4">
        <v>10</v>
      </c>
    </row>
    <row r="5" spans="1:32" ht="26.4" hidden="1" customHeight="1" x14ac:dyDescent="0.3">
      <c r="A5" s="45"/>
      <c r="B5" s="46"/>
      <c r="C5" s="46"/>
      <c r="D5" s="45"/>
      <c r="E5" s="42"/>
      <c r="F5" s="2"/>
      <c r="G5" s="2"/>
      <c r="H5" s="2"/>
      <c r="I5" s="2"/>
      <c r="J5" s="2"/>
      <c r="K5" s="2"/>
      <c r="L5" s="33"/>
      <c r="M5" s="31">
        <v>5</v>
      </c>
      <c r="N5" s="9"/>
      <c r="O5" s="9"/>
      <c r="P5" s="9"/>
      <c r="Q5" s="9">
        <v>5</v>
      </c>
      <c r="R5" s="33"/>
      <c r="S5" s="9" t="s">
        <v>149</v>
      </c>
      <c r="T5" s="9">
        <v>11</v>
      </c>
    </row>
    <row r="6" spans="1:32" ht="25.8" customHeight="1" x14ac:dyDescent="0.3">
      <c r="A6" s="552" t="s">
        <v>172</v>
      </c>
      <c r="B6" s="553"/>
      <c r="C6" s="553"/>
      <c r="D6" s="553"/>
      <c r="E6" s="42"/>
      <c r="F6" s="2"/>
      <c r="G6" s="2"/>
      <c r="H6" s="2"/>
      <c r="I6" s="2"/>
      <c r="J6" s="2"/>
      <c r="K6" s="2"/>
      <c r="L6" s="33"/>
      <c r="M6" s="31">
        <v>6</v>
      </c>
      <c r="N6" s="9"/>
      <c r="O6" s="9"/>
      <c r="P6" s="9"/>
      <c r="Q6" s="9">
        <v>6</v>
      </c>
      <c r="R6" s="33"/>
      <c r="S6" s="9" t="s">
        <v>149</v>
      </c>
      <c r="T6" s="9">
        <v>11</v>
      </c>
      <c r="U6">
        <v>13</v>
      </c>
    </row>
    <row r="7" spans="1:32" ht="25.8" customHeight="1" thickBot="1" x14ac:dyDescent="0.35">
      <c r="A7" s="554"/>
      <c r="B7" s="554"/>
      <c r="C7" s="554"/>
      <c r="D7" s="554"/>
      <c r="E7" s="42"/>
      <c r="F7" s="2"/>
      <c r="G7" s="2"/>
      <c r="H7" s="2"/>
      <c r="I7" s="2"/>
      <c r="J7" s="2"/>
      <c r="K7" s="2"/>
      <c r="L7" s="33"/>
      <c r="M7" s="31">
        <v>7</v>
      </c>
      <c r="N7" s="9"/>
      <c r="O7" s="9"/>
      <c r="P7" s="9"/>
      <c r="Q7" s="9">
        <v>7</v>
      </c>
      <c r="R7" s="33"/>
      <c r="S7" s="9" t="s">
        <v>150</v>
      </c>
      <c r="T7" s="9">
        <v>14</v>
      </c>
    </row>
    <row r="8" spans="1:32" ht="20.55" customHeight="1" x14ac:dyDescent="0.3">
      <c r="A8" s="51" t="s">
        <v>130</v>
      </c>
      <c r="B8" s="47"/>
      <c r="C8" s="321"/>
      <c r="D8" s="45"/>
      <c r="E8" s="42"/>
      <c r="F8" s="2"/>
      <c r="G8" s="2"/>
      <c r="H8" s="2"/>
      <c r="I8" s="2"/>
      <c r="J8" s="2"/>
      <c r="K8" s="2"/>
      <c r="L8" s="33"/>
      <c r="M8" s="31">
        <v>8</v>
      </c>
      <c r="N8" s="9"/>
      <c r="O8" s="9"/>
      <c r="P8" s="9"/>
      <c r="Q8" s="9">
        <v>8</v>
      </c>
      <c r="R8" s="33"/>
      <c r="S8" s="11"/>
    </row>
    <row r="9" spans="1:32" ht="30" customHeight="1" x14ac:dyDescent="0.3">
      <c r="A9" s="548" t="s">
        <v>280</v>
      </c>
      <c r="B9" s="549"/>
      <c r="C9" s="549"/>
      <c r="D9" s="549"/>
      <c r="E9" s="42"/>
      <c r="F9" s="2"/>
      <c r="G9" s="2"/>
      <c r="H9" s="2"/>
      <c r="I9" s="2"/>
      <c r="J9" s="2"/>
      <c r="K9" s="2"/>
      <c r="L9" s="33"/>
      <c r="M9" s="31">
        <v>9</v>
      </c>
      <c r="N9" s="9"/>
      <c r="O9" s="9"/>
      <c r="P9" s="9"/>
      <c r="Q9" s="9">
        <v>9</v>
      </c>
      <c r="R9" s="33"/>
    </row>
    <row r="10" spans="1:32" ht="15.45" customHeight="1" x14ac:dyDescent="0.3">
      <c r="A10" s="52" t="s">
        <v>131</v>
      </c>
      <c r="B10" s="3"/>
      <c r="C10" s="3"/>
      <c r="D10" s="48"/>
      <c r="E10" s="42"/>
      <c r="F10" s="2"/>
      <c r="G10" s="2"/>
      <c r="H10" s="2"/>
      <c r="I10" s="2"/>
      <c r="J10" s="2"/>
      <c r="K10" s="2"/>
      <c r="L10" s="33"/>
      <c r="M10" s="31">
        <v>10</v>
      </c>
      <c r="N10" s="9"/>
      <c r="O10" s="9"/>
      <c r="P10" s="9"/>
      <c r="Q10" s="9">
        <v>10</v>
      </c>
      <c r="R10" s="33"/>
      <c r="AD10" s="44" t="s">
        <v>212</v>
      </c>
      <c r="AE10" s="31" t="s">
        <v>213</v>
      </c>
      <c r="AF10" s="31" t="s">
        <v>214</v>
      </c>
    </row>
    <row r="11" spans="1:32" ht="28.8" customHeight="1" x14ac:dyDescent="0.3">
      <c r="A11" s="555" t="s">
        <v>269</v>
      </c>
      <c r="B11" s="555"/>
      <c r="C11" s="555"/>
      <c r="D11" s="555"/>
      <c r="E11" s="42"/>
      <c r="F11" s="2"/>
      <c r="G11" s="2"/>
      <c r="H11" s="2"/>
      <c r="I11" s="2"/>
      <c r="J11" s="2"/>
      <c r="K11" s="2"/>
      <c r="L11" s="35"/>
      <c r="M11" s="31">
        <v>11</v>
      </c>
      <c r="N11" s="9"/>
      <c r="O11" s="9"/>
      <c r="P11" s="9"/>
      <c r="Q11" s="9"/>
      <c r="R11" s="33"/>
      <c r="AC11" t="s">
        <v>144</v>
      </c>
      <c r="AD11" s="28">
        <v>313.57</v>
      </c>
      <c r="AE11" s="28">
        <v>423.32</v>
      </c>
      <c r="AF11" s="28">
        <v>571.48</v>
      </c>
    </row>
    <row r="12" spans="1:32" x14ac:dyDescent="0.3">
      <c r="A12" s="547" t="s">
        <v>270</v>
      </c>
      <c r="B12" s="547"/>
      <c r="C12" s="547"/>
      <c r="D12" s="547"/>
      <c r="E12" s="42"/>
      <c r="F12" s="2"/>
      <c r="G12" s="2"/>
      <c r="H12" s="2"/>
      <c r="I12" s="2"/>
      <c r="J12" s="2"/>
      <c r="K12" s="2"/>
      <c r="L12" s="35"/>
      <c r="M12" s="31">
        <v>12</v>
      </c>
      <c r="N12" s="9"/>
      <c r="O12" s="9"/>
      <c r="P12" s="9"/>
      <c r="Q12" s="9"/>
      <c r="R12" s="33"/>
      <c r="AC12" t="s">
        <v>145</v>
      </c>
      <c r="AD12" s="28">
        <v>608.04</v>
      </c>
      <c r="AE12" s="28">
        <v>820.85</v>
      </c>
      <c r="AF12" s="28">
        <v>1108.1500000000001</v>
      </c>
    </row>
    <row r="13" spans="1:32" ht="27" customHeight="1" x14ac:dyDescent="0.3">
      <c r="A13" s="547" t="s">
        <v>271</v>
      </c>
      <c r="B13" s="547"/>
      <c r="C13" s="547"/>
      <c r="D13" s="547"/>
      <c r="E13" s="42"/>
      <c r="F13" s="2"/>
      <c r="G13" s="2"/>
      <c r="H13" s="2"/>
      <c r="I13" s="2"/>
      <c r="J13" s="2"/>
      <c r="K13" s="2"/>
      <c r="L13" s="35"/>
      <c r="M13" s="31">
        <v>13</v>
      </c>
      <c r="N13" s="9"/>
      <c r="O13" s="9"/>
      <c r="P13" s="9"/>
      <c r="Q13" s="9"/>
      <c r="R13" s="33"/>
      <c r="AC13" t="s">
        <v>147</v>
      </c>
      <c r="AD13" s="28">
        <v>725.83</v>
      </c>
      <c r="AE13" s="28">
        <v>979.87</v>
      </c>
      <c r="AF13" s="28">
        <v>1322.82</v>
      </c>
    </row>
    <row r="14" spans="1:32" ht="15.45" customHeight="1" x14ac:dyDescent="0.3">
      <c r="A14" s="52" t="s">
        <v>282</v>
      </c>
      <c r="B14" s="316"/>
      <c r="C14" s="316"/>
      <c r="D14" s="316"/>
      <c r="E14" s="43"/>
      <c r="F14" s="37"/>
      <c r="G14" s="37"/>
      <c r="H14" s="2"/>
      <c r="I14" s="2"/>
      <c r="J14" s="2"/>
      <c r="K14" s="2"/>
      <c r="L14" s="33"/>
      <c r="M14" s="31">
        <v>14</v>
      </c>
      <c r="N14" s="9"/>
      <c r="O14" s="9"/>
      <c r="P14" s="9"/>
      <c r="Q14" s="9"/>
      <c r="R14" s="33"/>
      <c r="AC14" t="s">
        <v>148</v>
      </c>
      <c r="AD14" s="28">
        <v>875.45</v>
      </c>
      <c r="AE14" s="28">
        <v>1181.8599999999999</v>
      </c>
      <c r="AF14" s="28">
        <v>1595.51</v>
      </c>
    </row>
    <row r="15" spans="1:32" ht="14.4" customHeight="1" x14ac:dyDescent="0.3">
      <c r="A15" s="556" t="s">
        <v>283</v>
      </c>
      <c r="B15" s="557"/>
      <c r="C15" s="557"/>
      <c r="D15" s="557"/>
      <c r="E15" s="41"/>
      <c r="L15" s="34"/>
      <c r="M15" s="31">
        <v>15</v>
      </c>
      <c r="R15" s="33"/>
      <c r="AC15" t="s">
        <v>149</v>
      </c>
      <c r="AD15" s="28">
        <v>982.1</v>
      </c>
      <c r="AE15" s="28">
        <v>1325.84</v>
      </c>
      <c r="AF15" s="28">
        <v>1789.88</v>
      </c>
    </row>
    <row r="16" spans="1:32" ht="12" customHeight="1" x14ac:dyDescent="0.3">
      <c r="A16" s="557"/>
      <c r="B16" s="557"/>
      <c r="C16" s="557"/>
      <c r="D16" s="557"/>
      <c r="AC16" t="s">
        <v>150</v>
      </c>
      <c r="AD16" s="28">
        <v>1178.52</v>
      </c>
      <c r="AE16" s="28">
        <v>1591</v>
      </c>
      <c r="AF16" s="28">
        <v>2147.85</v>
      </c>
    </row>
    <row r="17" spans="1:4" ht="15.6" x14ac:dyDescent="0.3">
      <c r="A17" s="52" t="s">
        <v>139</v>
      </c>
      <c r="B17" s="95"/>
      <c r="C17" s="314"/>
      <c r="D17" s="96"/>
    </row>
    <row r="18" spans="1:4" ht="15.45" customHeight="1" x14ac:dyDescent="0.3">
      <c r="A18" s="547" t="s">
        <v>170</v>
      </c>
      <c r="B18" s="547"/>
      <c r="C18" s="547"/>
      <c r="D18" s="547"/>
    </row>
    <row r="19" spans="1:4" x14ac:dyDescent="0.3">
      <c r="A19" s="440"/>
      <c r="B19" s="440"/>
      <c r="C19" s="440"/>
      <c r="D19" s="440"/>
    </row>
    <row r="20" spans="1:4" x14ac:dyDescent="0.3">
      <c r="A20" s="3"/>
      <c r="B20" s="95"/>
      <c r="C20" s="314"/>
      <c r="D20" s="96"/>
    </row>
    <row r="21" spans="1:4" x14ac:dyDescent="0.3">
      <c r="A21" s="3"/>
      <c r="B21" s="95"/>
      <c r="C21" s="314"/>
      <c r="D21" s="96"/>
    </row>
    <row r="22" spans="1:4" ht="15.45" customHeight="1" x14ac:dyDescent="0.3">
      <c r="A22" s="3"/>
      <c r="B22" s="95"/>
      <c r="C22" s="314"/>
      <c r="D22" s="96"/>
    </row>
    <row r="23" spans="1:4" x14ac:dyDescent="0.3">
      <c r="A23" s="3"/>
      <c r="B23" s="95"/>
      <c r="C23" s="314"/>
      <c r="D23" s="96"/>
    </row>
    <row r="24" spans="1:4" x14ac:dyDescent="0.3">
      <c r="A24" s="3"/>
      <c r="B24" s="95"/>
      <c r="C24" s="314"/>
      <c r="D24" s="96"/>
    </row>
    <row r="25" spans="1:4" x14ac:dyDescent="0.3">
      <c r="A25" s="3"/>
      <c r="B25" s="95"/>
      <c r="C25" s="314"/>
      <c r="D25" s="96"/>
    </row>
    <row r="26" spans="1:4" x14ac:dyDescent="0.3">
      <c r="A26" s="3"/>
      <c r="B26" s="95"/>
      <c r="C26" s="314"/>
      <c r="D26" s="96"/>
    </row>
    <row r="27" spans="1:4" x14ac:dyDescent="0.3">
      <c r="A27" s="3"/>
      <c r="B27" s="95"/>
      <c r="C27" s="314"/>
      <c r="D27" s="96"/>
    </row>
    <row r="28" spans="1:4" x14ac:dyDescent="0.3">
      <c r="A28" s="3"/>
      <c r="B28" s="95"/>
      <c r="C28" s="314"/>
      <c r="D28" s="96"/>
    </row>
    <row r="29" spans="1:4" x14ac:dyDescent="0.3">
      <c r="A29" s="3"/>
      <c r="B29" s="95"/>
      <c r="C29" s="314"/>
      <c r="D29" s="96"/>
    </row>
    <row r="30" spans="1:4" x14ac:dyDescent="0.3">
      <c r="A30" s="3"/>
      <c r="B30" s="95"/>
      <c r="C30" s="314"/>
      <c r="D30" s="96"/>
    </row>
    <row r="31" spans="1:4" x14ac:dyDescent="0.3">
      <c r="A31" s="3"/>
      <c r="B31" s="95"/>
      <c r="C31" s="314"/>
      <c r="D31" s="96"/>
    </row>
    <row r="32" spans="1:4" x14ac:dyDescent="0.3">
      <c r="A32" s="3"/>
      <c r="B32" s="95"/>
      <c r="C32" s="314"/>
      <c r="D32" s="96"/>
    </row>
    <row r="33" spans="1:4" x14ac:dyDescent="0.3">
      <c r="A33" s="3"/>
      <c r="B33" s="95"/>
      <c r="C33" s="314"/>
      <c r="D33" s="96"/>
    </row>
    <row r="34" spans="1:4" x14ac:dyDescent="0.3">
      <c r="A34" s="3"/>
      <c r="B34" s="95"/>
      <c r="C34" s="314"/>
      <c r="D34" s="96"/>
    </row>
    <row r="35" spans="1:4" x14ac:dyDescent="0.3">
      <c r="A35" s="3"/>
      <c r="B35" s="95"/>
      <c r="C35" s="314"/>
      <c r="D35" s="96"/>
    </row>
  </sheetData>
  <sheetProtection algorithmName="SHA-512" hashValue="6YQodobikr7WypjeVIjl7CYhL45kt0b+8k+D/wexci8t4S/Drrii6kOO1s6GN6QdVGbTL8t3xuImXS5bseWImw==" saltValue="MWutzY8No6CFiWR6Sdc6OA==" spinCount="100000" sheet="1" selectLockedCells="1"/>
  <mergeCells count="8">
    <mergeCell ref="A13:D13"/>
    <mergeCell ref="A18:D19"/>
    <mergeCell ref="A9:D9"/>
    <mergeCell ref="A1:D2"/>
    <mergeCell ref="A6:D7"/>
    <mergeCell ref="A11:D11"/>
    <mergeCell ref="A12:D12"/>
    <mergeCell ref="A15:D16"/>
  </mergeCells>
  <dataValidations count="4">
    <dataValidation type="list" allowBlank="1" showInputMessage="1" showErrorMessage="1" sqref="A4" xr:uid="{00000000-0002-0000-0300-000000000000}">
      <formula1>$M$1:$M$14</formula1>
    </dataValidation>
    <dataValidation type="list" allowBlank="1" showInputMessage="1" showErrorMessage="1" sqref="B4" xr:uid="{00000000-0002-0000-0300-000002000000}">
      <formula1>$O$1:$O$4</formula1>
    </dataValidation>
    <dataValidation type="list" allowBlank="1" showInputMessage="1" showErrorMessage="1" sqref="E4:E13 D4" xr:uid="{00000000-0002-0000-0300-000004000000}">
      <formula1>$Q$1:$Q$10</formula1>
    </dataValidation>
    <dataValidation type="list" allowBlank="1" showInputMessage="1" showErrorMessage="1" sqref="C4" xr:uid="{96994515-9881-4EC5-8811-8D81CAAEC36B}">
      <formula1>$W$1:$W$2</formula1>
    </dataValidation>
  </dataValidations>
  <pageMargins left="0.7" right="0.7" top="0.75" bottom="0.75" header="0.3" footer="0.3"/>
  <pageSetup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29637-EDA2-471E-B1B1-5C1661E25ED6}">
  <sheetPr>
    <tabColor theme="8" tint="-0.249977111117893"/>
  </sheetPr>
  <dimension ref="A1:EF47"/>
  <sheetViews>
    <sheetView zoomScale="110" zoomScaleNormal="110" workbookViewId="0">
      <pane xSplit="1" ySplit="1" topLeftCell="B2" activePane="bottomRight" state="frozen"/>
      <selection pane="topRight" activeCell="B1" sqref="B1"/>
      <selection pane="bottomLeft" activeCell="A2" sqref="A2"/>
      <selection pane="bottomRight" activeCell="B2" sqref="B2"/>
    </sheetView>
  </sheetViews>
  <sheetFormatPr defaultRowHeight="14.4" x14ac:dyDescent="0.3"/>
  <cols>
    <col min="1" max="1" width="46.5546875" customWidth="1"/>
    <col min="2" max="2" width="24.77734375" style="250" customWidth="1"/>
    <col min="3" max="3" width="2" style="250" hidden="1" customWidth="1"/>
    <col min="4" max="4" width="12.21875" hidden="1" customWidth="1"/>
    <col min="5" max="5" width="4" hidden="1" customWidth="1"/>
    <col min="6" max="6" width="24.77734375" customWidth="1"/>
    <col min="7" max="7" width="2" style="250" hidden="1" customWidth="1"/>
    <col min="8" max="9" width="7.77734375" style="250" hidden="1" customWidth="1"/>
    <col min="10" max="10" width="24.77734375" style="250" customWidth="1"/>
    <col min="11" max="13" width="7.77734375" style="250" hidden="1" customWidth="1"/>
    <col min="14" max="14" width="24.77734375" style="250" customWidth="1"/>
    <col min="15" max="17" width="7.77734375" style="250" hidden="1" customWidth="1"/>
    <col min="18" max="18" width="24.77734375" style="250" customWidth="1"/>
    <col min="19" max="21" width="7.77734375" style="250" hidden="1" customWidth="1"/>
    <col min="22" max="22" width="24.77734375" style="250" customWidth="1"/>
    <col min="23" max="25" width="7.77734375" style="250" hidden="1" customWidth="1"/>
    <col min="26" max="26" width="24.77734375" style="250" customWidth="1"/>
    <col min="27" max="29" width="7.77734375" style="250" hidden="1" customWidth="1"/>
    <col min="30" max="30" width="24.77734375" style="250" customWidth="1"/>
    <col min="31" max="33" width="7.77734375" style="250" hidden="1" customWidth="1"/>
    <col min="34" max="34" width="24.77734375" style="250" customWidth="1"/>
    <col min="35" max="37" width="7.77734375" style="250" hidden="1" customWidth="1"/>
    <col min="38" max="135" width="7.77734375" style="250" customWidth="1"/>
    <col min="136" max="136" width="8.88671875" customWidth="1"/>
  </cols>
  <sheetData>
    <row r="1" spans="1:136" ht="34.200000000000003" customHeight="1" x14ac:dyDescent="0.3">
      <c r="A1" s="300" t="s">
        <v>302</v>
      </c>
      <c r="B1" s="303" t="str">
        <f>IF('Manufacturing-Testing-Other'!A13="","",'Manufacturing-Testing-Other'!A13)</f>
        <v/>
      </c>
      <c r="C1" s="304"/>
      <c r="D1" s="305"/>
      <c r="E1" s="305"/>
      <c r="F1" s="306" t="str">
        <f>IF('Manufacturing-Testing-Other'!A14="","",'Manufacturing-Testing-Other'!A14)</f>
        <v/>
      </c>
      <c r="G1" s="306"/>
      <c r="H1" s="307"/>
      <c r="I1" s="307"/>
      <c r="J1" s="308" t="str">
        <f>IF('Manufacturing-Testing-Other'!A15="","",'Manufacturing-Testing-Other'!A15)</f>
        <v/>
      </c>
      <c r="K1" s="309"/>
      <c r="L1" s="307"/>
      <c r="M1" s="307"/>
      <c r="N1" s="310" t="str">
        <f>IF('Manufacturing-Testing-Other'!A16="","",'Manufacturing-Testing-Other'!A16)</f>
        <v/>
      </c>
      <c r="O1" s="309"/>
      <c r="P1" s="307"/>
      <c r="Q1" s="307"/>
      <c r="R1" s="310" t="str">
        <f>IF('Manufacturing-Testing-Other'!A17="","",'Manufacturing-Testing-Other'!A17)</f>
        <v/>
      </c>
      <c r="S1" s="309"/>
      <c r="T1" s="307"/>
      <c r="U1" s="307"/>
      <c r="V1" s="310" t="str">
        <f>IF('Manufacturing-Testing-Other'!A18="","",'Manufacturing-Testing-Other'!A18)</f>
        <v/>
      </c>
      <c r="W1" s="309"/>
      <c r="X1" s="307"/>
      <c r="Y1" s="307"/>
      <c r="Z1" s="310" t="str">
        <f>IF('Manufacturing-Testing-Other'!A19="","",'Manufacturing-Testing-Other'!A19)</f>
        <v/>
      </c>
      <c r="AA1" s="309"/>
      <c r="AB1" s="307"/>
      <c r="AC1" s="307"/>
      <c r="AD1" s="310" t="str">
        <f>IF('Manufacturing-Testing-Other'!A20="","",'Manufacturing-Testing-Other'!A20)</f>
        <v/>
      </c>
      <c r="AE1" s="309"/>
      <c r="AF1" s="307"/>
      <c r="AG1" s="307"/>
      <c r="AH1" s="310" t="str">
        <f>IF('Manufacturing-Testing-Other'!A21="","",'Manufacturing-Testing-Other'!A21)</f>
        <v/>
      </c>
      <c r="AI1" s="26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row>
    <row r="2" spans="1:136" x14ac:dyDescent="0.3">
      <c r="A2" s="270" t="s">
        <v>253</v>
      </c>
      <c r="B2" s="268"/>
      <c r="F2" s="268"/>
      <c r="H2"/>
      <c r="I2"/>
      <c r="J2" s="268"/>
      <c r="L2"/>
      <c r="M2"/>
      <c r="N2" s="268"/>
      <c r="P2"/>
      <c r="Q2"/>
      <c r="R2" s="268"/>
      <c r="T2"/>
      <c r="U2"/>
      <c r="V2" s="268"/>
      <c r="X2"/>
      <c r="Y2"/>
      <c r="Z2" s="268"/>
      <c r="AB2"/>
      <c r="AC2"/>
      <c r="AD2" s="268"/>
      <c r="AF2"/>
      <c r="AG2"/>
      <c r="AH2" s="268"/>
      <c r="AJ2"/>
      <c r="AK2"/>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row>
    <row r="3" spans="1:136" x14ac:dyDescent="0.3">
      <c r="A3" s="271" t="s">
        <v>254</v>
      </c>
      <c r="B3" s="257"/>
      <c r="F3" s="257"/>
      <c r="H3"/>
      <c r="I3"/>
      <c r="J3" s="257"/>
      <c r="L3"/>
      <c r="M3"/>
      <c r="N3" s="257"/>
      <c r="P3"/>
      <c r="Q3"/>
      <c r="R3" s="257"/>
      <c r="T3"/>
      <c r="U3"/>
      <c r="V3" s="257"/>
      <c r="X3"/>
      <c r="Y3"/>
      <c r="Z3" s="257"/>
      <c r="AB3"/>
      <c r="AC3"/>
      <c r="AD3" s="257"/>
      <c r="AF3"/>
      <c r="AG3"/>
      <c r="AH3" s="257"/>
      <c r="AJ3"/>
      <c r="AK3"/>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row>
    <row r="4" spans="1:136" ht="24.6" customHeight="1" x14ac:dyDescent="0.3">
      <c r="A4" s="320" t="s">
        <v>279</v>
      </c>
      <c r="B4" s="257"/>
      <c r="C4" s="255">
        <f>IF(B6="Yes",1,0)</f>
        <v>0</v>
      </c>
      <c r="F4" s="257"/>
      <c r="G4" s="255">
        <f>IF(F6="Yes",1,0)</f>
        <v>0</v>
      </c>
      <c r="H4"/>
      <c r="I4"/>
      <c r="J4" s="257"/>
      <c r="K4" s="255">
        <f>IF(J6="Yes",1,0)</f>
        <v>0</v>
      </c>
      <c r="L4"/>
      <c r="M4"/>
      <c r="N4" s="257"/>
      <c r="O4" s="255">
        <f>IF(N6="Yes",1,0)</f>
        <v>0</v>
      </c>
      <c r="P4"/>
      <c r="Q4"/>
      <c r="R4" s="257"/>
      <c r="S4" s="255">
        <f>IF(R6="Yes",1,0)</f>
        <v>0</v>
      </c>
      <c r="T4"/>
      <c r="U4"/>
      <c r="V4" s="257"/>
      <c r="W4" s="255">
        <f>IF(V6="Yes",1,0)</f>
        <v>0</v>
      </c>
      <c r="X4"/>
      <c r="Y4"/>
      <c r="Z4" s="257"/>
      <c r="AA4" s="255">
        <f>IF(Z6="Yes",1,0)</f>
        <v>0</v>
      </c>
      <c r="AB4"/>
      <c r="AC4"/>
      <c r="AD4" s="257"/>
      <c r="AE4" s="255">
        <f>IF(AD6="Yes",1,0)</f>
        <v>0</v>
      </c>
      <c r="AF4"/>
      <c r="AG4"/>
      <c r="AH4" s="257"/>
      <c r="AI4" s="255">
        <f>IF(AH6="Yes",1,0)</f>
        <v>0</v>
      </c>
      <c r="AJ4"/>
      <c r="AK4"/>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row>
    <row r="5" spans="1:136" ht="27" customHeight="1" x14ac:dyDescent="0.3">
      <c r="A5" s="272" t="s">
        <v>272</v>
      </c>
      <c r="B5" s="257"/>
      <c r="C5" s="252">
        <f>IF(D5="",0,1)</f>
        <v>0</v>
      </c>
      <c r="D5" s="219" t="str">
        <f>IF(OR(B5="Yes",B7="Yes"),"Rx","")</f>
        <v/>
      </c>
      <c r="E5" s="219" t="str">
        <f>IF(AND(D5="Rx",E8=0),"Simple",IF(AND(D5="Rx",E8&lt;3),"Moderate",IF(AND(D5="Rx",E8&lt;5),"Complex",IF(AND(D5="Rx",E8&gt;4),"Very Complex",""))))</f>
        <v/>
      </c>
      <c r="F5" s="257"/>
      <c r="G5" s="252">
        <f>IF(H5="",0,1)</f>
        <v>0</v>
      </c>
      <c r="H5" s="219" t="str">
        <f>IF(OR(F5="Yes",F7="Yes"),"Rx","")</f>
        <v/>
      </c>
      <c r="I5" s="219" t="str">
        <f>IF(AND(H5="Rx",I8=0),"Simple",IF(AND(H5="Rx",I8&lt;3),"Moderate",IF(AND(H5="Rx",I8&lt;5),"Complex",IF(AND(H5="Rx",I8&gt;4),"Very Complex",""))))</f>
        <v/>
      </c>
      <c r="J5" s="257"/>
      <c r="K5" s="252">
        <f>IF(L5="",0,1)</f>
        <v>0</v>
      </c>
      <c r="L5" s="219" t="str">
        <f>IF(OR(J5="Yes",J7="Yes"),"Rx","")</f>
        <v/>
      </c>
      <c r="M5" s="219" t="str">
        <f>IF(AND(L5="Rx",M8=0),"Simple",IF(AND(L5="Rx",M8&lt;3),"Moderate",IF(AND(L5="Rx",M8&lt;5),"Complex",IF(AND(L5="Rx",M8&gt;4),"Very Complex",""))))</f>
        <v/>
      </c>
      <c r="N5" s="257"/>
      <c r="O5" s="252">
        <f>IF(P5="",0,1)</f>
        <v>0</v>
      </c>
      <c r="P5" s="219" t="str">
        <f>IF(OR(N5="Yes",N7="Yes"),"Rx","")</f>
        <v/>
      </c>
      <c r="Q5" s="219" t="str">
        <f>IF(AND(P5="Rx",Q8=0),"Simple",IF(AND(P5="Rx",Q8&lt;3),"Moderate",IF(AND(P5="Rx",Q8&lt;5),"Complex",IF(AND(P5="Rx",Q8&gt;4),"Very Complex",""))))</f>
        <v/>
      </c>
      <c r="R5" s="257"/>
      <c r="S5" s="252">
        <f>IF(T5="",0,1)</f>
        <v>0</v>
      </c>
      <c r="T5" s="219" t="str">
        <f>IF(OR(R5="Yes",R7="Yes"),"Rx","")</f>
        <v/>
      </c>
      <c r="U5" s="219" t="str">
        <f>IF(AND(T5="Rx",U8=0),"Simple",IF(AND(T5="Rx",U8&lt;3),"Moderate",IF(AND(T5="Rx",U8&lt;5),"Complex",IF(AND(T5="Rx",U8&gt;4),"Very Complex",""))))</f>
        <v/>
      </c>
      <c r="V5" s="257"/>
      <c r="W5" s="252">
        <f>IF(X5="",0,1)</f>
        <v>0</v>
      </c>
      <c r="X5" s="219" t="str">
        <f>IF(OR(V5="Yes",V7="Yes"),"Rx","")</f>
        <v/>
      </c>
      <c r="Y5" s="219" t="str">
        <f>IF(AND(X5="Rx",Y8=0),"Simple",IF(AND(X5="Rx",Y8&lt;3),"Moderate",IF(AND(X5="Rx",Y8&lt;5),"Complex",IF(AND(X5="Rx",Y8&gt;4),"Very Complex",""))))</f>
        <v/>
      </c>
      <c r="Z5" s="257"/>
      <c r="AA5" s="252">
        <f>IF(AB5="",0,1)</f>
        <v>0</v>
      </c>
      <c r="AB5" s="219" t="str">
        <f>IF(OR(Z5="Yes",Z7="Yes"),"Rx","")</f>
        <v/>
      </c>
      <c r="AC5" s="219" t="str">
        <f>IF(AND(AB5="Rx",AC8=0),"Simple",IF(AND(AB5="Rx",AC8&lt;3),"Moderate",IF(AND(AB5="Rx",AC8&lt;5),"Complex",IF(AND(AB5="Rx",AC8&gt;4),"Very Complex",""))))</f>
        <v/>
      </c>
      <c r="AD5" s="257"/>
      <c r="AE5" s="252">
        <f>IF(AF5="",0,1)</f>
        <v>0</v>
      </c>
      <c r="AF5" s="219" t="str">
        <f>IF(OR(AD5="Yes",AD7="Yes"),"Rx","")</f>
        <v/>
      </c>
      <c r="AG5" s="219" t="str">
        <f>IF(AND(AF5="Rx",AG8=0),"Simple",IF(AND(AF5="Rx",AG8&lt;3),"Moderate",IF(AND(AF5="Rx",AG8&lt;5),"Complex",IF(AND(AF5="Rx",AG8&gt;4),"Very Complex",""))))</f>
        <v/>
      </c>
      <c r="AH5" s="257"/>
      <c r="AI5" s="252">
        <f>IF(AJ5="",0,1)</f>
        <v>0</v>
      </c>
      <c r="AJ5" s="219" t="str">
        <f>IF(OR(AH5="Yes",AH7="Yes"),"Rx","")</f>
        <v/>
      </c>
      <c r="AK5" s="219" t="str">
        <f>IF(AND(AJ5="Rx",AK8=0),"Simple",IF(AND(AJ5="Rx",AK8&lt;3),"Moderate",IF(AND(AJ5="Rx",AK8&lt;5),"Complex",IF(AND(AJ5="Rx",AK8&gt;4),"Very Complex",""))))</f>
        <v/>
      </c>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t="s">
        <v>65</v>
      </c>
    </row>
    <row r="6" spans="1:136" ht="25.8" customHeight="1" x14ac:dyDescent="0.3">
      <c r="A6" s="272" t="s">
        <v>305</v>
      </c>
      <c r="B6" s="257"/>
      <c r="C6" s="332"/>
      <c r="D6" s="219"/>
      <c r="E6" s="219"/>
      <c r="F6" s="257"/>
      <c r="G6" s="332"/>
      <c r="H6" s="219"/>
      <c r="I6" s="219"/>
      <c r="J6" s="257"/>
      <c r="K6" s="332"/>
      <c r="L6" s="219"/>
      <c r="M6" s="219"/>
      <c r="N6" s="257"/>
      <c r="O6" s="332"/>
      <c r="P6" s="219"/>
      <c r="Q6" s="219"/>
      <c r="R6" s="257"/>
      <c r="S6" s="332"/>
      <c r="T6" s="219"/>
      <c r="U6" s="219"/>
      <c r="V6" s="257"/>
      <c r="W6" s="332"/>
      <c r="X6" s="219"/>
      <c r="Y6" s="219"/>
      <c r="Z6" s="257"/>
      <c r="AA6" s="332"/>
      <c r="AB6" s="219"/>
      <c r="AC6" s="219"/>
      <c r="AD6" s="257"/>
      <c r="AE6" s="332"/>
      <c r="AF6" s="219"/>
      <c r="AG6" s="219"/>
      <c r="AH6" s="257"/>
      <c r="AI6" s="332"/>
      <c r="AJ6" s="219"/>
      <c r="AK6" s="219"/>
      <c r="AL6" s="11"/>
      <c r="AM6" s="332"/>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t="s">
        <v>66</v>
      </c>
    </row>
    <row r="7" spans="1:136" x14ac:dyDescent="0.3">
      <c r="A7" s="273" t="s">
        <v>239</v>
      </c>
      <c r="B7" s="257"/>
      <c r="F7" s="257"/>
      <c r="H7"/>
      <c r="I7"/>
      <c r="J7" s="257"/>
      <c r="L7"/>
      <c r="M7"/>
      <c r="N7" s="257"/>
      <c r="P7"/>
      <c r="Q7"/>
      <c r="R7" s="257"/>
      <c r="T7"/>
      <c r="U7"/>
      <c r="V7" s="257"/>
      <c r="X7"/>
      <c r="Y7"/>
      <c r="Z7" s="257"/>
      <c r="AB7"/>
      <c r="AC7"/>
      <c r="AD7" s="257"/>
      <c r="AF7"/>
      <c r="AG7"/>
      <c r="AH7" s="257"/>
      <c r="AJ7"/>
      <c r="AK7"/>
    </row>
    <row r="8" spans="1:136" ht="27.6" customHeight="1" x14ac:dyDescent="0.3">
      <c r="A8" s="281" t="s">
        <v>265</v>
      </c>
      <c r="B8" s="257"/>
      <c r="C8" s="253">
        <f>IF(SUM(C11,C5,C9)&lt;1,1,0)</f>
        <v>1</v>
      </c>
      <c r="D8" s="254">
        <f>IF(B5="Yes",0,IF(B8&lt;15,0,IF(AND(B8&gt;14,B8&lt;61),1,IF(AND(B8&gt;60,B8&lt;121),2,IF(AND(B8&gt;120,B8&lt;200),3,5)))))</f>
        <v>0</v>
      </c>
      <c r="E8" s="117">
        <f>D8+C12+C19+C20+C22+C13+C15+C17+C18+C4</f>
        <v>0</v>
      </c>
      <c r="F8" s="257"/>
      <c r="G8" s="253">
        <f>IF(SUM(G11,G5,G9)&lt;1,1,0)</f>
        <v>1</v>
      </c>
      <c r="H8" s="254">
        <f>IF(F5="Yes",0,IF(F8&lt;15,0,IF(AND(F8&gt;14,F8&lt;61),1,IF(AND(F8&gt;60,F8&lt;121),2,IF(AND(F8&gt;120,F8&lt;200),3,5)))))</f>
        <v>0</v>
      </c>
      <c r="I8" s="117">
        <f>H8+G12+G19+G20+G22+G13+G15+G17+G18+G4</f>
        <v>0</v>
      </c>
      <c r="J8" s="257"/>
      <c r="K8" s="253">
        <f>IF(SUM(K11,K5,K9)&lt;1,1,0)</f>
        <v>1</v>
      </c>
      <c r="L8" s="254">
        <f>IF(J5="Yes",0,IF(J8&lt;15,0,IF(AND(J8&gt;14,J8&lt;61),1,IF(AND(J8&gt;60,J8&lt;121),2,IF(AND(J8&gt;120,J8&lt;200),3,5)))))</f>
        <v>0</v>
      </c>
      <c r="M8" s="117">
        <f>L8+K12+K19+K20+K22+K13+K15+K17+K18+K4</f>
        <v>0</v>
      </c>
      <c r="N8" s="257"/>
      <c r="O8" s="253">
        <f>IF(SUM(O11,O5,O9)&lt;1,1,0)</f>
        <v>1</v>
      </c>
      <c r="P8" s="254">
        <f>IF(N5="Yes",0,IF(N8&lt;15,0,IF(AND(N8&gt;14,N8&lt;61),1,IF(AND(N8&gt;60,N8&lt;121),2,IF(AND(N8&gt;120,N8&lt;200),3,5)))))</f>
        <v>0</v>
      </c>
      <c r="Q8" s="117">
        <f>P8+O12+O19+O20+O22+O13+O15+O17+O18+O4</f>
        <v>0</v>
      </c>
      <c r="R8" s="257"/>
      <c r="S8" s="253">
        <f>IF(SUM(S11,S5,S9)&lt;1,1,0)</f>
        <v>1</v>
      </c>
      <c r="T8" s="254">
        <f>IF(R5="Yes",0,IF(R8&lt;15,0,IF(AND(R8&gt;14,R8&lt;61),1,IF(AND(R8&gt;60,R8&lt;121),2,IF(AND(R8&gt;120,R8&lt;200),3,5)))))</f>
        <v>0</v>
      </c>
      <c r="U8" s="117">
        <f>T8+S12+S19+S20+S22+S13+S15+S17+S18+S4</f>
        <v>0</v>
      </c>
      <c r="V8" s="257"/>
      <c r="W8" s="253">
        <f>IF(SUM(W11,W5,W9)&lt;1,1,0)</f>
        <v>1</v>
      </c>
      <c r="X8" s="254">
        <f>IF(V5="Yes",0,IF(V8&lt;15,0,IF(AND(V8&gt;14,V8&lt;61),1,IF(AND(V8&gt;60,V8&lt;121),2,IF(AND(V8&gt;120,V8&lt;200),3,5)))))</f>
        <v>0</v>
      </c>
      <c r="Y8" s="117">
        <f>X8+W12+W19+W20+W22+W13+W15+W17+W18+W4</f>
        <v>0</v>
      </c>
      <c r="Z8" s="257"/>
      <c r="AA8" s="253">
        <f>IF(SUM(AA11,AA5,AA9)&lt;1,1,0)</f>
        <v>1</v>
      </c>
      <c r="AB8" s="254">
        <f>IF(Z5="Yes",0,IF(Z8&lt;15,0,IF(AND(Z8&gt;14,Z8&lt;61),1,IF(AND(Z8&gt;60,Z8&lt;121),2,IF(AND(Z8&gt;120,Z8&lt;200),3,5)))))</f>
        <v>0</v>
      </c>
      <c r="AC8" s="117">
        <f>AB8+AA12+AA19+AA20+AA22+AA13+AA15+AA17+AA18+AA4</f>
        <v>0</v>
      </c>
      <c r="AD8" s="257"/>
      <c r="AE8" s="253">
        <f>IF(SUM(AE11,AE5,AE9)&lt;1,1,0)</f>
        <v>1</v>
      </c>
      <c r="AF8" s="254">
        <f>IF(AD5="Yes",0,IF(AD8&lt;15,0,IF(AND(AD8&gt;14,AD8&lt;61),1,IF(AND(AD8&gt;60,AD8&lt;121),2,IF(AND(AD8&gt;120,AD8&lt;200),3,5)))))</f>
        <v>0</v>
      </c>
      <c r="AG8" s="117">
        <f>AF8+AE12+AE19+AE20+AE22+AE13+AE15+AE17+AE18+AE4</f>
        <v>0</v>
      </c>
      <c r="AH8" s="257"/>
      <c r="AI8" s="253">
        <f>IF(SUM(AI11,AI5,AI9)&lt;1,1,0)</f>
        <v>1</v>
      </c>
      <c r="AJ8" s="254">
        <f>IF(AH5="Yes",0,IF(AH8&lt;15,0,IF(AND(AH8&gt;14,AH8&lt;61),1,IF(AND(AH8&gt;60,AH8&lt;121),2,IF(AND(AH8&gt;120,AH8&lt;200),3,5)))))</f>
        <v>0</v>
      </c>
      <c r="AK8" s="117">
        <f>AJ8+AI12+AI19+AI20+AI22+AI13+AI15+AI17+AI18+AI4</f>
        <v>0</v>
      </c>
    </row>
    <row r="9" spans="1:136" x14ac:dyDescent="0.3">
      <c r="A9" s="273" t="s">
        <v>241</v>
      </c>
      <c r="B9" s="257"/>
      <c r="C9" s="252">
        <f>IF(D9="",0,1)</f>
        <v>0</v>
      </c>
      <c r="D9" s="219" t="str">
        <f>IF(B10="Yes","Sterile Prep",IF(AND(D5="",B10="No"),"Sterile Prep",""))</f>
        <v/>
      </c>
      <c r="E9" s="219" t="str">
        <f>IF(AND(D9="Sterile Prep",$C$23=0),"simple",IF(AND(D9="Sterile Prep",$C$23&lt;3),"moderate",IF(AND(D9="Sterile Prep",$C$23&lt;6),"complex",IF(AND(D9="Sterile Prep",$C$23&lt;10),"very complex",IF(AND(D9="Sterile Prep",$C$23&gt;9),"special preparation","")))))</f>
        <v/>
      </c>
      <c r="F9" s="257"/>
      <c r="G9" s="252">
        <f>IF(H9="",0,1)</f>
        <v>0</v>
      </c>
      <c r="H9" s="219" t="str">
        <f>IF(F10="Yes","Sterile Prep",IF(AND(H5="",F10="No"),"Sterile Prep",""))</f>
        <v/>
      </c>
      <c r="I9" s="219" t="str">
        <f>IF(AND(H9="Sterile Prep",$G$23=0),"simple",IF(AND(H9="Sterile Prep",$G$23&lt;3),"moderate",IF(AND(H9="Sterile Prep",$G$23&lt;6),"complex",IF(AND(H9="Sterile Prep",$G$23&lt;10),"very complex",IF(AND(H9="Sterile Prep",$G$23&gt;9),"special preparation","")))))</f>
        <v/>
      </c>
      <c r="J9" s="257"/>
      <c r="K9" s="252">
        <f>IF(L9="",0,1)</f>
        <v>0</v>
      </c>
      <c r="L9" s="219" t="str">
        <f>IF(J10="Yes","Sterile Prep",IF(AND(L5="",J10="No"),"Sterile Prep",""))</f>
        <v/>
      </c>
      <c r="M9" s="219" t="str">
        <f>IF(AND(L9="Sterile Prep",$K$23=0),"simple",IF(AND(L9="Sterile Prep",$K$23&lt;3),"moderate",IF(AND(L9="Sterile Prep",$K$23&lt;6),"complex",IF(AND(L9="Sterile Prep",$K$23&lt;10),"very complex",IF(AND(L9="Sterile Prep",$K$23&gt;9),"special preparation","")))))</f>
        <v/>
      </c>
      <c r="N9" s="257"/>
      <c r="O9" s="252">
        <f>IF(P9="",0,1)</f>
        <v>0</v>
      </c>
      <c r="P9" s="219" t="str">
        <f>IF(N10="Yes","Sterile Prep",IF(AND(P5="",N10="No"),"Sterile Prep",""))</f>
        <v/>
      </c>
      <c r="Q9" s="219" t="str">
        <f>IF(AND(P9="Sterile Prep",$O$23=0),"simple",IF(AND(P9="Sterile Prep",$O$23&lt;3),"moderate",IF(AND(P9="Sterile Prep",$O$23&lt;6),"complex",IF(AND(P9="Sterile Prep",$O$23&lt;10),"very complex",IF(AND(P9="Sterile Prep",$O$23&gt;9),"special preparation","")))))</f>
        <v/>
      </c>
      <c r="R9" s="257"/>
      <c r="S9" s="252">
        <f>IF(T9="",0,1)</f>
        <v>0</v>
      </c>
      <c r="T9" s="219" t="str">
        <f>IF(R10="Yes","Sterile Prep",IF(AND(T5="",R10="No"),"Sterile Prep",""))</f>
        <v/>
      </c>
      <c r="U9" s="219" t="str">
        <f>IF(AND(T9="Sterile Prep",$S$23=0),"simple",IF(AND(T9="Sterile Prep",$S$23&lt;3),"moderate",IF(AND(T9="Sterile Prep",$S$23&lt;6),"complex",IF(AND(T9="Sterile Prep",$S$23&lt;10),"very complex",IF(AND(T9="Sterile Prep",$S$23&gt;9),"special preparation","")))))</f>
        <v/>
      </c>
      <c r="V9" s="257"/>
      <c r="W9" s="252">
        <f>IF(X9="",0,1)</f>
        <v>0</v>
      </c>
      <c r="X9" s="219" t="str">
        <f>IF(V10="Yes","Sterile Prep",IF(AND(X5="",V10="No"),"Sterile Prep",""))</f>
        <v/>
      </c>
      <c r="Y9" s="219" t="str">
        <f>IF(AND(X9="Sterile Prep",$W$23=0),"simple",IF(AND(X9="Sterile Prep",$W$23&lt;3),"moderate",IF(AND(X9="Sterile Prep",$W$23&lt;6),"complex",IF(AND(X9="Sterile Prep",$W$23&lt;10),"very complex",IF(AND(X9="Sterile Prep",$W$23&gt;9),"special preparation","")))))</f>
        <v/>
      </c>
      <c r="Z9" s="257"/>
      <c r="AA9" s="252">
        <f>IF(AB9="",0,1)</f>
        <v>0</v>
      </c>
      <c r="AB9" s="219" t="str">
        <f>IF(Z10="Yes","Sterile Prep",IF(AND(AB5="",Z10="No"),"Sterile Prep",""))</f>
        <v/>
      </c>
      <c r="AC9" s="219" t="str">
        <f>IF(AND(AB9="Sterile Prep",$AA$23=0),"simple",IF(AND(AB9="Sterile Prep",$AA$23&lt;3),"moderate",IF(AND(AB9="Sterile Prep",$AA$23&lt;6),"complex",IF(AND(AB9="Sterile Prep",$AA$23&lt;10),"very complex",IF(AND(AB9="Sterile Prep",$AA$23&gt;9),"special preparation","")))))</f>
        <v/>
      </c>
      <c r="AD9" s="257"/>
      <c r="AE9" s="252">
        <f>IF(AF9="",0,1)</f>
        <v>0</v>
      </c>
      <c r="AF9" s="219" t="str">
        <f>IF(AD10="Yes","Sterile Prep",IF(AND(AF5="",AD10="No"),"Sterile Prep",""))</f>
        <v/>
      </c>
      <c r="AG9" s="219" t="str">
        <f>IF(AND(AF9="Sterile Prep",$AE$23=0),"simple",IF(AND(AF9="Sterile Prep",$AE$23&lt;3),"moderate",IF(AND(AF9="Sterile Prep",$AE$23&lt;6),"complex",IF(AND(AF9="Sterile Prep",$AE$23&lt;10),"very complex",IF(AND(AF9="Sterile Prep",$AE$23&gt;9),"special preparation","")))))</f>
        <v/>
      </c>
      <c r="AH9" s="257"/>
      <c r="AI9" s="252">
        <f>IF(AJ9="",0,1)</f>
        <v>0</v>
      </c>
      <c r="AJ9" s="219" t="str">
        <f>IF(AH10="Yes","Sterile Prep",IF(AND(AJ5="",AH10="No"),"Sterile Prep",""))</f>
        <v/>
      </c>
      <c r="AK9" s="219" t="str">
        <f>IF(AND(AJ9="Sterile Prep",$AI$23=0),"simple",IF(AND(AJ9="Sterile Prep",$AI$23&lt;3),"moderate",IF(AND(AJ9="Sterile Prep",$AI$23&lt;6),"complex",IF(AND(AJ9="Sterile Prep",$AI$23&lt;10),"very complex",IF(AND(AJ9="Sterile Prep",$AI$23&gt;9),"special preparation","")))))</f>
        <v/>
      </c>
    </row>
    <row r="10" spans="1:136" ht="30" customHeight="1" x14ac:dyDescent="0.3">
      <c r="A10" s="318" t="s">
        <v>274</v>
      </c>
      <c r="B10" s="257"/>
      <c r="C10" s="252"/>
      <c r="D10" s="219"/>
      <c r="E10" s="219"/>
      <c r="F10" s="257"/>
      <c r="G10" s="252"/>
      <c r="H10" s="219"/>
      <c r="I10" s="219"/>
      <c r="J10" s="257"/>
      <c r="K10" s="252"/>
      <c r="L10" s="219"/>
      <c r="M10" s="219"/>
      <c r="N10" s="257"/>
      <c r="O10" s="252"/>
      <c r="P10" s="219"/>
      <c r="Q10" s="219"/>
      <c r="R10" s="257"/>
      <c r="S10" s="252"/>
      <c r="T10" s="219"/>
      <c r="U10" s="219"/>
      <c r="V10" s="257"/>
      <c r="W10" s="252"/>
      <c r="X10" s="219"/>
      <c r="Y10" s="219"/>
      <c r="Z10" s="257"/>
      <c r="AA10" s="252"/>
      <c r="AB10" s="219"/>
      <c r="AC10" s="219"/>
      <c r="AD10" s="257"/>
      <c r="AE10" s="252"/>
      <c r="AF10" s="219"/>
      <c r="AG10" s="219"/>
      <c r="AH10" s="257"/>
      <c r="AI10" s="252"/>
      <c r="AJ10" s="219"/>
      <c r="AK10" s="219"/>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c r="DQ10" s="301"/>
      <c r="DR10" s="301"/>
      <c r="DS10" s="301"/>
      <c r="DT10" s="301"/>
      <c r="DU10" s="301"/>
      <c r="DV10" s="301"/>
      <c r="DW10" s="301"/>
      <c r="DX10" s="301"/>
      <c r="DY10" s="301"/>
      <c r="DZ10" s="301"/>
      <c r="EA10" s="301"/>
      <c r="EB10" s="301"/>
      <c r="EC10" s="301"/>
      <c r="ED10" s="301"/>
      <c r="EE10" s="301"/>
    </row>
    <row r="11" spans="1:136" x14ac:dyDescent="0.3">
      <c r="A11" s="273" t="s">
        <v>242</v>
      </c>
      <c r="B11" s="257"/>
      <c r="C11" s="252">
        <f>IF(D11="",0,1)</f>
        <v>0</v>
      </c>
      <c r="D11" s="219" t="str">
        <f>IF(B11="Yes","Sterile Prep","")</f>
        <v/>
      </c>
      <c r="E11" s="219" t="str">
        <f>IF(AND(D11="Sterile Prep",$C$23=0),"simple",IF(AND(D11="Sterile Prep",$C$23&lt;3),"moderate",IF(AND(D11="Sterile Prep",$C$23&lt;6),"complex",IF(AND(D11="Sterile Prep",$C$23&lt;10),"very complex",IF(AND(D11="Sterile Prep",$C$23&gt;9),"special preparation","")))))</f>
        <v/>
      </c>
      <c r="F11" s="257"/>
      <c r="G11" s="252">
        <f>IF(H11="",0,1)</f>
        <v>0</v>
      </c>
      <c r="H11" s="219" t="str">
        <f>IF(F11="Yes","Sterile Prep","")</f>
        <v/>
      </c>
      <c r="I11" s="219" t="str">
        <f>IF(AND(H11="Sterile Prep",$G$23=0),"simple",IF(AND(H11="Sterile Prep",$G$23&lt;3),"moderate",IF(AND(H11="Sterile Prep",$G$23&lt;6),"complex",IF(AND(H11="Sterile Prep",$G$23&lt;10),"very complex",IF(AND(H11="Sterile Prep",$G$23&gt;9),"special preparation","")))))</f>
        <v/>
      </c>
      <c r="J11" s="257"/>
      <c r="K11" s="252">
        <f>IF(L11="",0,1)</f>
        <v>0</v>
      </c>
      <c r="L11" s="219" t="str">
        <f>IF(J11="Yes","Sterile Prep","")</f>
        <v/>
      </c>
      <c r="M11" s="219" t="str">
        <f>IF(AND(L11="Sterile Prep",$K$23=0),"simple",IF(AND(L11="Sterile Prep",$K$23&lt;3),"moderate",IF(AND(L11="Sterile Prep",$K$23&lt;6),"complex",IF(AND(L11="Sterile Prep",$K$23&lt;10),"very complex",IF(AND(L11="Sterile Prep",$K$23&gt;9),"special preparation","")))))</f>
        <v/>
      </c>
      <c r="N11" s="257"/>
      <c r="O11" s="252">
        <f>IF(P11="",0,1)</f>
        <v>0</v>
      </c>
      <c r="P11" s="219" t="str">
        <f>IF(N11="Yes","Sterile Prep","")</f>
        <v/>
      </c>
      <c r="Q11" s="219" t="str">
        <f>IF(AND(P11="Sterile Prep",$O$23=0),"simple",IF(AND(P11="Sterile Prep",$O$23&lt;3),"moderate",IF(AND(P11="Sterile Prep",$O$23&lt;6),"complex",IF(AND(P11="Sterile Prep",$O$23&lt;10),"very complex",IF(AND(P11="Sterile Prep",$O$23&gt;9),"special preparation","")))))</f>
        <v/>
      </c>
      <c r="R11" s="257"/>
      <c r="S11" s="252">
        <f>IF(T11="",0,1)</f>
        <v>0</v>
      </c>
      <c r="T11" s="219" t="str">
        <f>IF(R11="Yes","Sterile Prep","")</f>
        <v/>
      </c>
      <c r="U11" s="219" t="str">
        <f>IF(AND(T11="Sterile Prep",$S$23=0),"simple",IF(AND(T11="Sterile Prep",$S$23&lt;3),"moderate",IF(AND(T11="Sterile Prep",$S$23&lt;6),"complex",IF(AND(T11="Sterile Prep",$S$23&lt;10),"very complex",IF(AND(T11="Sterile Prep",$S$23&gt;9),"special preparation","")))))</f>
        <v/>
      </c>
      <c r="V11" s="257"/>
      <c r="W11" s="252">
        <f>IF(X11="",0,1)</f>
        <v>0</v>
      </c>
      <c r="X11" s="219" t="str">
        <f>IF(V11="Yes","Sterile Prep","")</f>
        <v/>
      </c>
      <c r="Y11" s="219" t="str">
        <f>IF(AND(X11="Sterile Prep",$W$23=0),"simple",IF(AND(X11="Sterile Prep",$W$23&lt;3),"moderate",IF(AND(X11="Sterile Prep",$W$23&lt;6),"complex",IF(AND(X11="Sterile Prep",$W$23&lt;10),"very complex",IF(AND(X11="Sterile Prep",$W$23&gt;9),"special preparation","")))))</f>
        <v/>
      </c>
      <c r="Z11" s="257"/>
      <c r="AA11" s="252">
        <f>IF(AB11="",0,1)</f>
        <v>0</v>
      </c>
      <c r="AB11" s="219" t="str">
        <f>IF(Z11="Yes","Sterile Prep","")</f>
        <v/>
      </c>
      <c r="AC11" s="219" t="str">
        <f>IF(AND(AB11="Sterile Prep",$AA$23=0),"simple",IF(AND(AB11="Sterile Prep",$AA$23&lt;3),"moderate",IF(AND(AB11="Sterile Prep",$AA$23&lt;6),"complex",IF(AND(AB11="Sterile Prep",$AA$23&lt;10),"very complex",IF(AND(AB11="Sterile Prep",$AA$23&gt;9),"special preparation","")))))</f>
        <v/>
      </c>
      <c r="AD11" s="257"/>
      <c r="AE11" s="252">
        <f>IF(AF11="",0,1)</f>
        <v>0</v>
      </c>
      <c r="AF11" s="219" t="str">
        <f>IF(AD11="Yes","Sterile Prep","")</f>
        <v/>
      </c>
      <c r="AG11" s="219" t="str">
        <f>IF(AND(AF11="Sterile Prep",$AE$23=0),"simple",IF(AND(AF11="Sterile Prep",$AE$23&lt;3),"moderate",IF(AND(AF11="Sterile Prep",$AE$23&lt;6),"complex",IF(AND(AF11="Sterile Prep",$AE$23&lt;10),"very complex",IF(AND(AF11="Sterile Prep",$AE$23&gt;9),"special preparation","")))))</f>
        <v/>
      </c>
      <c r="AH11" s="257"/>
      <c r="AI11" s="252">
        <f>IF(AJ11="",0,1)</f>
        <v>0</v>
      </c>
      <c r="AJ11" s="219" t="str">
        <f>IF(AH11="Yes","Sterile Prep","")</f>
        <v/>
      </c>
      <c r="AK11" s="219" t="str">
        <f>IF(AND(AJ11="Sterile Prep",$AI$23=0),"simple",IF(AND(AJ11="Sterile Prep",$AI$23&lt;3),"moderate",IF(AND(AJ11="Sterile Prep",$AI$23&lt;6),"complex",IF(AND(AJ11="Sterile Prep",$AI$23&lt;10),"very complex",IF(AND(AJ11="Sterile Prep",$AI$23&gt;9),"special preparation","")))))</f>
        <v/>
      </c>
    </row>
    <row r="12" spans="1:136" x14ac:dyDescent="0.3">
      <c r="A12" s="272" t="s">
        <v>255</v>
      </c>
      <c r="B12" s="257"/>
      <c r="C12" s="255">
        <f>IF(B12="Yes",1,0)</f>
        <v>0</v>
      </c>
      <c r="F12" s="257"/>
      <c r="G12" s="255">
        <f>IF(F12="Yes",1,0)</f>
        <v>0</v>
      </c>
      <c r="H12"/>
      <c r="I12"/>
      <c r="J12" s="257"/>
      <c r="K12" s="255">
        <f>IF(J12="Yes",1,0)</f>
        <v>0</v>
      </c>
      <c r="L12"/>
      <c r="M12"/>
      <c r="N12" s="257"/>
      <c r="O12" s="255">
        <f>IF(N12="Yes",1,0)</f>
        <v>0</v>
      </c>
      <c r="P12"/>
      <c r="Q12"/>
      <c r="R12" s="257"/>
      <c r="S12" s="255">
        <f>IF(R12="Yes",1,0)</f>
        <v>0</v>
      </c>
      <c r="T12"/>
      <c r="U12"/>
      <c r="V12" s="257"/>
      <c r="W12" s="255">
        <f>IF(V12="Yes",1,0)</f>
        <v>0</v>
      </c>
      <c r="X12"/>
      <c r="Y12"/>
      <c r="Z12" s="257"/>
      <c r="AA12" s="255">
        <f>IF(Z12="Yes",1,0)</f>
        <v>0</v>
      </c>
      <c r="AB12"/>
      <c r="AC12"/>
      <c r="AD12" s="257"/>
      <c r="AE12" s="255">
        <f>IF(AD12="Yes",1,0)</f>
        <v>0</v>
      </c>
      <c r="AF12"/>
      <c r="AG12"/>
      <c r="AH12" s="257"/>
      <c r="AI12" s="255">
        <f>IF(AH12="Yes",1,0)</f>
        <v>0</v>
      </c>
      <c r="AJ12"/>
      <c r="AK12"/>
    </row>
    <row r="13" spans="1:136" x14ac:dyDescent="0.3">
      <c r="A13" s="273" t="s">
        <v>244</v>
      </c>
      <c r="B13" s="257"/>
      <c r="C13" s="255">
        <f>IF(B13="Yes",1,0)</f>
        <v>0</v>
      </c>
      <c r="F13" s="257"/>
      <c r="G13" s="255">
        <f>IF(F13="Yes",1,0)</f>
        <v>0</v>
      </c>
      <c r="H13"/>
      <c r="I13"/>
      <c r="J13" s="257"/>
      <c r="K13" s="255">
        <f>IF(J13="Yes",1,0)</f>
        <v>0</v>
      </c>
      <c r="L13"/>
      <c r="M13"/>
      <c r="N13" s="257"/>
      <c r="O13" s="255">
        <f>IF(N13="Yes",1,0)</f>
        <v>0</v>
      </c>
      <c r="P13"/>
      <c r="Q13"/>
      <c r="R13" s="257"/>
      <c r="S13" s="255">
        <f>IF(R13="Yes",1,0)</f>
        <v>0</v>
      </c>
      <c r="T13"/>
      <c r="U13"/>
      <c r="V13" s="257"/>
      <c r="W13" s="255">
        <f>IF(V13="Yes",1,0)</f>
        <v>0</v>
      </c>
      <c r="X13"/>
      <c r="Y13"/>
      <c r="Z13" s="257"/>
      <c r="AA13" s="255">
        <f>IF(Z13="Yes",1,0)</f>
        <v>0</v>
      </c>
      <c r="AB13"/>
      <c r="AC13"/>
      <c r="AD13" s="257"/>
      <c r="AE13" s="255">
        <f>IF(AD13="Yes",1,0)</f>
        <v>0</v>
      </c>
      <c r="AF13"/>
      <c r="AG13"/>
      <c r="AH13" s="257"/>
      <c r="AI13" s="255">
        <f>IF(AH13="Yes",1,0)</f>
        <v>0</v>
      </c>
      <c r="AJ13"/>
      <c r="AK13"/>
    </row>
    <row r="14" spans="1:136" x14ac:dyDescent="0.3">
      <c r="A14" s="273" t="s">
        <v>277</v>
      </c>
      <c r="B14" s="257"/>
      <c r="F14" s="257"/>
      <c r="H14"/>
      <c r="I14"/>
      <c r="J14" s="257"/>
      <c r="L14"/>
      <c r="M14"/>
      <c r="N14" s="257"/>
      <c r="P14"/>
      <c r="Q14"/>
      <c r="R14" s="257"/>
      <c r="T14"/>
      <c r="U14"/>
      <c r="V14" s="257"/>
      <c r="X14"/>
      <c r="Y14"/>
      <c r="Z14" s="257"/>
      <c r="AB14"/>
      <c r="AC14"/>
      <c r="AD14" s="257"/>
      <c r="AF14"/>
      <c r="AG14"/>
      <c r="AH14" s="257"/>
      <c r="AJ14"/>
      <c r="AK14"/>
    </row>
    <row r="15" spans="1:136" x14ac:dyDescent="0.3">
      <c r="A15" s="282" t="s">
        <v>278</v>
      </c>
      <c r="B15" s="257"/>
      <c r="C15" s="255">
        <f>B15</f>
        <v>0</v>
      </c>
      <c r="F15" s="257"/>
      <c r="G15" s="255">
        <f>F15</f>
        <v>0</v>
      </c>
      <c r="H15"/>
      <c r="I15"/>
      <c r="J15" s="257"/>
      <c r="K15" s="255">
        <f>J15</f>
        <v>0</v>
      </c>
      <c r="L15"/>
      <c r="M15"/>
      <c r="N15" s="257"/>
      <c r="O15" s="255">
        <f>N15</f>
        <v>0</v>
      </c>
      <c r="P15"/>
      <c r="Q15"/>
      <c r="R15" s="257"/>
      <c r="S15" s="255">
        <f>R15</f>
        <v>0</v>
      </c>
      <c r="T15"/>
      <c r="U15"/>
      <c r="V15" s="257"/>
      <c r="W15" s="255">
        <f>V15</f>
        <v>0</v>
      </c>
      <c r="X15"/>
      <c r="Y15"/>
      <c r="Z15" s="257"/>
      <c r="AA15" s="255">
        <f>Z15</f>
        <v>0</v>
      </c>
      <c r="AB15"/>
      <c r="AC15"/>
      <c r="AD15" s="257"/>
      <c r="AE15" s="255">
        <f>AD15</f>
        <v>0</v>
      </c>
      <c r="AF15"/>
      <c r="AG15"/>
      <c r="AH15" s="257"/>
      <c r="AI15" s="255">
        <f>AH15</f>
        <v>0</v>
      </c>
      <c r="AJ15"/>
      <c r="AK15"/>
    </row>
    <row r="16" spans="1:136" x14ac:dyDescent="0.3">
      <c r="A16" s="273" t="s">
        <v>249</v>
      </c>
      <c r="B16" s="257"/>
      <c r="F16" s="257"/>
      <c r="H16"/>
      <c r="I16"/>
      <c r="J16" s="257"/>
      <c r="L16"/>
      <c r="M16"/>
      <c r="N16" s="257"/>
      <c r="P16"/>
      <c r="Q16"/>
      <c r="R16" s="257"/>
      <c r="T16"/>
      <c r="U16"/>
      <c r="V16" s="257"/>
      <c r="X16"/>
      <c r="Y16"/>
      <c r="Z16" s="257"/>
      <c r="AB16"/>
      <c r="AC16"/>
      <c r="AD16" s="257"/>
      <c r="AF16"/>
      <c r="AG16"/>
      <c r="AH16" s="257"/>
      <c r="AJ16"/>
      <c r="AK16"/>
    </row>
    <row r="17" spans="1:37" x14ac:dyDescent="0.3">
      <c r="A17" s="282" t="s">
        <v>258</v>
      </c>
      <c r="B17" s="257"/>
      <c r="C17" s="255">
        <f>B17</f>
        <v>0</v>
      </c>
      <c r="F17" s="257"/>
      <c r="G17" s="255">
        <f>F17</f>
        <v>0</v>
      </c>
      <c r="H17"/>
      <c r="I17"/>
      <c r="J17" s="257"/>
      <c r="K17" s="255">
        <f>J17</f>
        <v>0</v>
      </c>
      <c r="L17"/>
      <c r="M17"/>
      <c r="N17" s="257"/>
      <c r="O17" s="255">
        <f>N17</f>
        <v>0</v>
      </c>
      <c r="P17"/>
      <c r="Q17"/>
      <c r="R17" s="257"/>
      <c r="S17" s="255">
        <f>R17</f>
        <v>0</v>
      </c>
      <c r="T17"/>
      <c r="U17"/>
      <c r="V17" s="257"/>
      <c r="W17" s="255">
        <f>V17</f>
        <v>0</v>
      </c>
      <c r="X17"/>
      <c r="Y17"/>
      <c r="Z17" s="257"/>
      <c r="AA17" s="255">
        <f>Z17</f>
        <v>0</v>
      </c>
      <c r="AB17"/>
      <c r="AC17"/>
      <c r="AD17" s="257"/>
      <c r="AE17" s="255">
        <f>AD17</f>
        <v>0</v>
      </c>
      <c r="AF17"/>
      <c r="AG17"/>
      <c r="AH17" s="257"/>
      <c r="AI17" s="255">
        <f>AH17</f>
        <v>0</v>
      </c>
      <c r="AJ17"/>
      <c r="AK17"/>
    </row>
    <row r="18" spans="1:37" x14ac:dyDescent="0.3">
      <c r="A18" s="273" t="s">
        <v>250</v>
      </c>
      <c r="B18" s="257"/>
      <c r="C18" s="255">
        <f>IF(B18="Yes",1,0)</f>
        <v>0</v>
      </c>
      <c r="F18" s="257"/>
      <c r="G18" s="255">
        <f>IF(F18="Yes",1,0)</f>
        <v>0</v>
      </c>
      <c r="H18"/>
      <c r="I18"/>
      <c r="J18" s="257"/>
      <c r="K18" s="255">
        <f>IF(J18="Yes",1,0)</f>
        <v>0</v>
      </c>
      <c r="L18"/>
      <c r="M18"/>
      <c r="N18" s="257"/>
      <c r="O18" s="255">
        <f>IF(N18="Yes",1,0)</f>
        <v>0</v>
      </c>
      <c r="P18"/>
      <c r="Q18"/>
      <c r="R18" s="257"/>
      <c r="S18" s="255">
        <f>IF(R18="Yes",1,0)</f>
        <v>0</v>
      </c>
      <c r="T18"/>
      <c r="U18"/>
      <c r="V18" s="257"/>
      <c r="W18" s="255">
        <f>IF(V18="Yes",1,0)</f>
        <v>0</v>
      </c>
      <c r="X18"/>
      <c r="Y18"/>
      <c r="Z18" s="257"/>
      <c r="AA18" s="255">
        <f>IF(Z18="Yes",1,0)</f>
        <v>0</v>
      </c>
      <c r="AB18"/>
      <c r="AC18"/>
      <c r="AD18" s="257"/>
      <c r="AE18" s="255">
        <f>IF(AD18="Yes",1,0)</f>
        <v>0</v>
      </c>
      <c r="AF18"/>
      <c r="AG18"/>
      <c r="AH18" s="257"/>
      <c r="AI18" s="255">
        <f>IF(AH18="Yes",1,0)</f>
        <v>0</v>
      </c>
      <c r="AJ18"/>
      <c r="AK18"/>
    </row>
    <row r="19" spans="1:37" ht="27.6" x14ac:dyDescent="0.3">
      <c r="A19" s="272" t="s">
        <v>251</v>
      </c>
      <c r="B19" s="257"/>
      <c r="C19" s="255">
        <f>IF(AND(B19="Yes",(C12+C13+C15+C17)&lt;3),1,IF(AND(B19="Yes",(C12+C13+C15+C17)&gt;2),2,0))</f>
        <v>0</v>
      </c>
      <c r="F19" s="257"/>
      <c r="G19" s="255">
        <f>IF(AND(F19="Yes",(G12+G13+G15+G17)&lt;3),1,IF(AND(F19="Yes",(G12+G13+G15+G17)&gt;2),2,0))</f>
        <v>0</v>
      </c>
      <c r="H19"/>
      <c r="I19"/>
      <c r="J19" s="257"/>
      <c r="K19" s="255">
        <f>IF(AND(J19="Yes",(K12+K13+K15+K17)&lt;3),1,IF(AND(J19="Yes",(K12+K13+K15+K17)&gt;2),2,0))</f>
        <v>0</v>
      </c>
      <c r="L19"/>
      <c r="M19"/>
      <c r="N19" s="257"/>
      <c r="O19" s="255">
        <f>IF(AND(N19="Yes",(O12+O13+O15+O17)&lt;3),1,IF(AND(N19="Yes",(O12+O13+O15+O17)&gt;2),2,0))</f>
        <v>0</v>
      </c>
      <c r="P19"/>
      <c r="Q19"/>
      <c r="R19" s="257"/>
      <c r="S19" s="255">
        <f>IF(AND(R19="Yes",(S12+S13+S15+S17)&lt;3),1,IF(AND(R19="Yes",(S12+S13+S15+S17)&gt;2),2,0))</f>
        <v>0</v>
      </c>
      <c r="T19"/>
      <c r="U19"/>
      <c r="V19" s="257"/>
      <c r="W19" s="255">
        <f>IF(AND(V19="Yes",(W12+W13+W15+W17)&lt;3),1,IF(AND(V19="Yes",(W12+W13+W15+W17)&gt;2),2,0))</f>
        <v>0</v>
      </c>
      <c r="X19"/>
      <c r="Y19"/>
      <c r="Z19" s="257"/>
      <c r="AA19" s="255">
        <f>IF(AND(Z19="Yes",(AA12+AA13+AA15+AA17)&lt;3),1,IF(AND(Z19="Yes",(AA12+AA13+AA15+AA17)&gt;2),2,0))</f>
        <v>0</v>
      </c>
      <c r="AB19"/>
      <c r="AC19"/>
      <c r="AD19" s="257"/>
      <c r="AE19" s="255">
        <f>IF(AND(AD19="Yes",(AE12+AE13+AE15+AE17)&lt;3),1,IF(AND(AD19="Yes",(AE12+AE13+AE15+AE17)&gt;2),2,0))</f>
        <v>0</v>
      </c>
      <c r="AF19"/>
      <c r="AG19"/>
      <c r="AH19" s="257"/>
      <c r="AI19" s="255">
        <f>IF(AND(AH19="Yes",(AI12+AI13+AI15+AI17)&lt;3),1,IF(AND(AH19="Yes",(AI12+AI13+AI15+AI17)&gt;2),2,0))</f>
        <v>0</v>
      </c>
      <c r="AJ19"/>
      <c r="AK19"/>
    </row>
    <row r="20" spans="1:37" x14ac:dyDescent="0.3">
      <c r="A20" s="273" t="s">
        <v>276</v>
      </c>
      <c r="B20" s="257"/>
      <c r="C20" s="255">
        <f>IF(B20="Yes",3,0)</f>
        <v>0</v>
      </c>
      <c r="F20" s="257"/>
      <c r="G20" s="255">
        <f>IF(F20="Yes",3,0)</f>
        <v>0</v>
      </c>
      <c r="H20"/>
      <c r="I20"/>
      <c r="J20" s="257"/>
      <c r="K20" s="255">
        <f>IF(J20="Yes",3,0)</f>
        <v>0</v>
      </c>
      <c r="L20"/>
      <c r="M20"/>
      <c r="N20" s="257"/>
      <c r="O20" s="255">
        <f>IF(N20="Yes",3,0)</f>
        <v>0</v>
      </c>
      <c r="P20"/>
      <c r="Q20"/>
      <c r="R20" s="257"/>
      <c r="S20" s="255">
        <f>IF(R20="Yes",3,0)</f>
        <v>0</v>
      </c>
      <c r="T20"/>
      <c r="U20"/>
      <c r="V20" s="257"/>
      <c r="W20" s="255">
        <f>IF(V20="Yes",3,0)</f>
        <v>0</v>
      </c>
      <c r="X20"/>
      <c r="Y20"/>
      <c r="Z20" s="257"/>
      <c r="AA20" s="255">
        <f>IF(Z20="Yes",3,0)</f>
        <v>0</v>
      </c>
      <c r="AB20"/>
      <c r="AC20"/>
      <c r="AD20" s="257"/>
      <c r="AE20" s="255">
        <f>IF(AD20="Yes",3,0)</f>
        <v>0</v>
      </c>
      <c r="AF20"/>
      <c r="AG20"/>
      <c r="AH20" s="257"/>
      <c r="AI20" s="255">
        <f>IF(AH20="Yes",3,0)</f>
        <v>0</v>
      </c>
      <c r="AJ20"/>
      <c r="AK20"/>
    </row>
    <row r="21" spans="1:37" ht="40.200000000000003" customHeight="1" x14ac:dyDescent="0.3">
      <c r="A21" s="274" t="s">
        <v>256</v>
      </c>
      <c r="B21" s="313"/>
      <c r="C21" s="330"/>
      <c r="D21" s="331"/>
      <c r="E21" s="331"/>
      <c r="F21" s="313"/>
      <c r="G21" s="330"/>
      <c r="H21" s="331"/>
      <c r="I21" s="331"/>
      <c r="J21" s="313"/>
      <c r="K21" s="330"/>
      <c r="L21" s="331"/>
      <c r="M21" s="331"/>
      <c r="N21" s="313"/>
      <c r="O21" s="330"/>
      <c r="P21" s="331"/>
      <c r="Q21" s="331"/>
      <c r="R21" s="313"/>
      <c r="S21" s="31"/>
      <c r="T21" s="317"/>
      <c r="U21" s="317"/>
      <c r="V21" s="313"/>
      <c r="W21" s="31"/>
      <c r="X21" s="317"/>
      <c r="Y21" s="317"/>
      <c r="Z21" s="313"/>
      <c r="AA21" s="31"/>
      <c r="AB21" s="317"/>
      <c r="AC21" s="317"/>
      <c r="AD21" s="313"/>
      <c r="AE21" s="31"/>
      <c r="AF21" s="317"/>
      <c r="AG21" s="317"/>
      <c r="AH21" s="313"/>
      <c r="AJ21"/>
      <c r="AK21"/>
    </row>
    <row r="22" spans="1:37" ht="43.2" customHeight="1" x14ac:dyDescent="0.3">
      <c r="A22" s="312" t="s">
        <v>257</v>
      </c>
      <c r="B22" s="313"/>
      <c r="C22" s="295">
        <f>IF(B22="",0,1)</f>
        <v>0</v>
      </c>
      <c r="D22" s="296"/>
      <c r="E22" s="296"/>
      <c r="F22" s="313"/>
      <c r="G22" s="295">
        <f>IF(F22="",0,1)</f>
        <v>0</v>
      </c>
      <c r="H22" s="296"/>
      <c r="I22" s="296"/>
      <c r="J22" s="313"/>
      <c r="K22" s="295">
        <f>IF(J22="",0,1)</f>
        <v>0</v>
      </c>
      <c r="L22" s="296"/>
      <c r="M22" s="296"/>
      <c r="N22" s="313"/>
      <c r="O22" s="295">
        <f>IF(N22="",0,1)</f>
        <v>0</v>
      </c>
      <c r="P22" s="296"/>
      <c r="Q22" s="296"/>
      <c r="R22" s="313"/>
      <c r="S22" s="297">
        <f>IF(R22="",0,1)</f>
        <v>0</v>
      </c>
      <c r="T22" s="222"/>
      <c r="U22" s="222"/>
      <c r="V22" s="313"/>
      <c r="W22" s="297">
        <f>IF(V22="",0,1)</f>
        <v>0</v>
      </c>
      <c r="X22" s="222"/>
      <c r="Y22" s="222"/>
      <c r="Z22" s="313"/>
      <c r="AA22" s="297">
        <f>IF(Z22="",0,1)</f>
        <v>0</v>
      </c>
      <c r="AB22" s="222"/>
      <c r="AC22" s="222"/>
      <c r="AD22" s="313"/>
      <c r="AE22" s="297">
        <f>IF(AD22="",0,1)</f>
        <v>0</v>
      </c>
      <c r="AF22" s="222"/>
      <c r="AG22" s="222"/>
      <c r="AH22" s="313"/>
      <c r="AI22" s="255">
        <f>IF(AH22="",0,1)</f>
        <v>0</v>
      </c>
      <c r="AJ22"/>
      <c r="AK22"/>
    </row>
    <row r="23" spans="1:37" ht="27.6" hidden="1" x14ac:dyDescent="0.3">
      <c r="A23" s="275"/>
      <c r="B23" s="293" t="s">
        <v>252</v>
      </c>
      <c r="C23" s="294">
        <f>C12+C15+C17+C19+C20+C22+C18+C13+C21+C4</f>
        <v>0</v>
      </c>
      <c r="D23" s="12"/>
      <c r="E23" s="12"/>
      <c r="F23" s="293" t="s">
        <v>252</v>
      </c>
      <c r="G23" s="294">
        <f>G12+G15+G17+G19+G20+G22+G18+G13+G21+G4</f>
        <v>0</v>
      </c>
      <c r="H23" s="12"/>
      <c r="I23" s="12"/>
      <c r="J23" s="293" t="s">
        <v>252</v>
      </c>
      <c r="K23" s="294">
        <f>K12+K15+K17+K19+K20+K22+K18+K13+K21+K4</f>
        <v>0</v>
      </c>
      <c r="L23"/>
      <c r="M23"/>
      <c r="N23" s="293" t="s">
        <v>252</v>
      </c>
      <c r="O23" s="294">
        <f>O12+O15+O17+O19+O20+O22+O18+O13+O21+O4</f>
        <v>0</v>
      </c>
      <c r="P23"/>
      <c r="Q23"/>
      <c r="R23" s="293" t="s">
        <v>252</v>
      </c>
      <c r="S23" s="294">
        <f>S12+S15+S17+S19+S20+S22+S18+S13+S21+S4</f>
        <v>0</v>
      </c>
      <c r="T23"/>
      <c r="U23"/>
      <c r="V23" s="293" t="s">
        <v>252</v>
      </c>
      <c r="W23" s="294">
        <f>W12+W15+W17+W19+W20+W22+W18+W13+W21+W4</f>
        <v>0</v>
      </c>
      <c r="X23"/>
      <c r="Y23"/>
      <c r="Z23" s="293" t="s">
        <v>252</v>
      </c>
      <c r="AA23" s="294">
        <f>AA12+AA15+AA17+AA19+AA20+AA22+AA18+AA13+AA21+AA4</f>
        <v>0</v>
      </c>
      <c r="AB23"/>
      <c r="AC23"/>
      <c r="AD23" s="293" t="s">
        <v>252</v>
      </c>
      <c r="AE23" s="294">
        <f>AE12+AE15+AE17+AE19+AE20+AE22+AE18+AE13+AE21+AE4</f>
        <v>0</v>
      </c>
      <c r="AF23"/>
      <c r="AG23"/>
      <c r="AH23" s="293" t="s">
        <v>252</v>
      </c>
      <c r="AI23" s="294">
        <f>AI12+AI15+AI17+AI19+AI20+AI22+AI18+AI13+AI21+AI4</f>
        <v>0</v>
      </c>
      <c r="AJ23"/>
      <c r="AK23"/>
    </row>
    <row r="24" spans="1:37" hidden="1" x14ac:dyDescent="0.3">
      <c r="A24" s="276"/>
      <c r="B24" s="259"/>
      <c r="F24" s="265"/>
      <c r="J24" s="256"/>
      <c r="N24" s="123"/>
      <c r="R24" s="123"/>
      <c r="V24" s="123"/>
      <c r="Z24" s="123"/>
      <c r="AD24" s="123"/>
      <c r="AH24" s="123"/>
    </row>
    <row r="25" spans="1:37" hidden="1" x14ac:dyDescent="0.3">
      <c r="A25" s="277"/>
      <c r="B25" s="262"/>
      <c r="F25" s="266"/>
      <c r="J25" s="256"/>
      <c r="N25" s="123"/>
      <c r="R25" s="123"/>
      <c r="V25" s="123"/>
      <c r="Z25" s="123"/>
      <c r="AD25" s="123"/>
      <c r="AH25" s="123"/>
    </row>
    <row r="26" spans="1:37" hidden="1" x14ac:dyDescent="0.3">
      <c r="A26" s="278"/>
      <c r="B26" s="260"/>
      <c r="F26" s="266"/>
      <c r="J26" s="256"/>
      <c r="N26" s="123"/>
      <c r="R26" s="123"/>
      <c r="V26" s="123"/>
      <c r="Z26" s="123"/>
      <c r="AD26" s="123"/>
      <c r="AH26" s="123"/>
    </row>
    <row r="27" spans="1:37" hidden="1" x14ac:dyDescent="0.3">
      <c r="A27" s="279"/>
      <c r="B27" s="263"/>
      <c r="F27" s="266"/>
      <c r="J27" s="256"/>
      <c r="N27" s="123"/>
      <c r="R27" s="123"/>
      <c r="V27" s="123"/>
      <c r="Z27" s="123"/>
      <c r="AD27" s="123"/>
      <c r="AH27" s="123"/>
    </row>
    <row r="28" spans="1:37" hidden="1" x14ac:dyDescent="0.3">
      <c r="A28" s="279"/>
      <c r="B28" s="263"/>
      <c r="F28" s="266"/>
      <c r="J28" s="256"/>
      <c r="N28" s="123"/>
      <c r="R28" s="123"/>
      <c r="V28" s="123"/>
      <c r="Z28" s="123"/>
      <c r="AD28" s="123"/>
      <c r="AH28" s="123"/>
    </row>
    <row r="29" spans="1:37" hidden="1" x14ac:dyDescent="0.3">
      <c r="A29" s="279"/>
      <c r="B29" s="263"/>
      <c r="F29" s="266"/>
      <c r="J29" s="256"/>
      <c r="N29" s="123"/>
      <c r="R29" s="123"/>
      <c r="V29" s="123"/>
      <c r="Z29" s="123"/>
      <c r="AD29" s="123"/>
      <c r="AH29" s="123"/>
    </row>
    <row r="30" spans="1:37" hidden="1" x14ac:dyDescent="0.3">
      <c r="A30" s="279"/>
      <c r="B30" s="263"/>
      <c r="F30" s="266"/>
      <c r="J30" s="256"/>
      <c r="N30" s="123"/>
      <c r="R30" s="123"/>
      <c r="V30" s="123"/>
      <c r="Z30" s="123"/>
      <c r="AD30" s="123"/>
      <c r="AH30" s="123"/>
    </row>
    <row r="31" spans="1:37" hidden="1" x14ac:dyDescent="0.3">
      <c r="A31" s="279"/>
      <c r="B31" s="263"/>
      <c r="F31" s="266"/>
      <c r="J31" s="256"/>
      <c r="N31" s="123"/>
      <c r="R31" s="123"/>
      <c r="V31" s="123"/>
      <c r="Z31" s="123"/>
      <c r="AD31" s="123"/>
      <c r="AH31" s="123"/>
    </row>
    <row r="32" spans="1:37" hidden="1" x14ac:dyDescent="0.3">
      <c r="A32" s="279"/>
      <c r="B32" s="263"/>
      <c r="F32" s="266"/>
      <c r="J32" s="256"/>
      <c r="N32" s="123"/>
      <c r="R32" s="123"/>
      <c r="V32" s="123"/>
      <c r="Z32" s="123"/>
      <c r="AD32" s="123"/>
      <c r="AH32" s="123"/>
    </row>
    <row r="33" spans="1:38" hidden="1" x14ac:dyDescent="0.3">
      <c r="A33" s="279"/>
      <c r="B33" s="263"/>
      <c r="F33" s="266"/>
      <c r="J33" s="256"/>
      <c r="N33" s="123"/>
      <c r="R33" s="123"/>
      <c r="V33" s="123"/>
      <c r="Z33" s="123"/>
      <c r="AD33" s="123"/>
      <c r="AH33" s="123"/>
    </row>
    <row r="34" spans="1:38" hidden="1" x14ac:dyDescent="0.3">
      <c r="A34" s="279"/>
      <c r="B34" s="263"/>
      <c r="F34" s="266"/>
      <c r="J34" s="256"/>
      <c r="N34" s="123"/>
      <c r="R34" s="123"/>
      <c r="V34" s="123"/>
      <c r="Z34" s="123"/>
      <c r="AD34" s="123"/>
      <c r="AH34" s="123"/>
    </row>
    <row r="35" spans="1:38" hidden="1" x14ac:dyDescent="0.3">
      <c r="A35" s="279"/>
      <c r="B35" s="263"/>
      <c r="F35" s="266"/>
      <c r="J35" s="256"/>
      <c r="N35" s="123"/>
      <c r="R35" s="123"/>
      <c r="V35" s="123"/>
      <c r="Z35" s="123"/>
      <c r="AD35" s="123"/>
      <c r="AH35" s="123"/>
    </row>
    <row r="36" spans="1:38" hidden="1" x14ac:dyDescent="0.3">
      <c r="A36" s="279"/>
      <c r="B36" s="263"/>
      <c r="F36" s="266"/>
      <c r="J36" s="256"/>
      <c r="N36" s="123"/>
      <c r="R36" s="123"/>
      <c r="V36" s="123"/>
      <c r="Z36" s="123"/>
      <c r="AD36" s="123"/>
      <c r="AH36" s="123"/>
    </row>
    <row r="37" spans="1:38" hidden="1" x14ac:dyDescent="0.3">
      <c r="A37" s="280"/>
      <c r="B37" s="264"/>
      <c r="F37" s="267"/>
      <c r="J37" s="269"/>
      <c r="N37" s="125"/>
      <c r="R37" s="125"/>
      <c r="V37" s="125"/>
      <c r="Z37" s="125"/>
      <c r="AD37" s="125"/>
      <c r="AH37" s="125"/>
    </row>
    <row r="38" spans="1:38" hidden="1" x14ac:dyDescent="0.3">
      <c r="A38" s="251"/>
      <c r="B38" s="251" t="str">
        <f>IF(C8=1,"",CONCATENATE(VLOOKUP(1,C5:E11,2,FALSE)," - ",VLOOKUP(1,C5:E11,3,FALSE)))</f>
        <v/>
      </c>
      <c r="C38" s="100"/>
      <c r="F38" s="258" t="str">
        <f>IF(G8=1,"",CONCATENATE(VLOOKUP(1,G5:I11,2,FALSE)," - ",VLOOKUP(1,G5:I11,3,FALSE)))</f>
        <v/>
      </c>
      <c r="J38" s="258" t="str">
        <f>IF(K8=1,"",CONCATENATE(VLOOKUP(1,K5:M11,2,FALSE)," - ",VLOOKUP(1,K5:M11,3,FALSE)))</f>
        <v/>
      </c>
      <c r="N38" s="258" t="str">
        <f>IF(O8=1,"",CONCATENATE(VLOOKUP(1,O5:Q11,2,FALSE)," - ",VLOOKUP(1,O5:Q11,3,FALSE)))</f>
        <v/>
      </c>
      <c r="R38" s="258" t="str">
        <f>IF(S8=1,"",CONCATENATE(VLOOKUP(1,S5:U11,2,FALSE)," - ",VLOOKUP(1,S5:U11,3,FALSE)))</f>
        <v/>
      </c>
      <c r="V38" s="258" t="str">
        <f>IF(W8=1,"",CONCATENATE(VLOOKUP(1,W5:Y11,2,FALSE)," - ",VLOOKUP(1,W5:Y11,3,FALSE)))</f>
        <v/>
      </c>
      <c r="Z38" s="258" t="str">
        <f>IF(AA8=1,"",CONCATENATE(VLOOKUP(1,AA5:AC11,2,FALSE)," - ",VLOOKUP(1,AA5:AC11,3,FALSE)))</f>
        <v/>
      </c>
      <c r="AD38" s="258" t="str">
        <f>IF(AE8=1,"",CONCATENATE(VLOOKUP(1,AE5:AG11,2,FALSE)," - ",VLOOKUP(1,AE5:AG11,3,FALSE)))</f>
        <v/>
      </c>
      <c r="AH38" s="258" t="str">
        <f>IF(AI8=1,"",CONCATENATE(VLOOKUP(1,AI5:AK11,2,FALSE)," - ",VLOOKUP(1,AI5:AK11,3,FALSE)))</f>
        <v/>
      </c>
    </row>
    <row r="39" spans="1:38" hidden="1" x14ac:dyDescent="0.3">
      <c r="B39" s="12" t="s">
        <v>237</v>
      </c>
      <c r="C39" s="250" t="str">
        <f>IF(D5="Outpatient Rx",E8,IF(D9="Sterile Prep",C23,IF(D11="Sterile Prep",C23,"")))</f>
        <v/>
      </c>
      <c r="F39" s="71" t="s">
        <v>237</v>
      </c>
      <c r="G39" s="250" t="str">
        <f>IF(H5="Outpatient Rx",I8,IF(H9="Sterile Prep",G23,IF(H11="Sterile Prep",G23,"")))</f>
        <v/>
      </c>
      <c r="J39" s="71" t="s">
        <v>237</v>
      </c>
      <c r="K39" s="250" t="str">
        <f>IF(L5="Outpatient Rx",M8,IF(L9="Sterile Prep",K23,IF(L11="Sterile Prep",K23,"")))</f>
        <v/>
      </c>
      <c r="N39" s="71" t="s">
        <v>237</v>
      </c>
      <c r="O39" s="250" t="str">
        <f>IF(P5="Outpatient Rx",Q8,IF(P9="Sterile Prep",O23,IF(P11="Sterile Prep",O23,"")))</f>
        <v/>
      </c>
      <c r="R39" s="71" t="s">
        <v>237</v>
      </c>
      <c r="S39" s="250" t="str">
        <f>IF(T5="Outpatient Rx",U8,IF(T9="Sterile Prep",S23,IF(T11="Sterile Prep",S23,"")))</f>
        <v/>
      </c>
      <c r="V39" s="71" t="s">
        <v>237</v>
      </c>
      <c r="W39" s="250" t="str">
        <f>IF(X5="Outpatient Rx",Y8,IF(X9="Sterile Prep",W23,IF(X11="Sterile Prep",W23,"")))</f>
        <v/>
      </c>
      <c r="Z39" s="71" t="s">
        <v>237</v>
      </c>
      <c r="AA39" s="250" t="str">
        <f>IF(AB5="Outpatient Rx",AC8,IF(AB9="Sterile Prep",AA23,IF(AB11="Sterile Prep",AA23,"")))</f>
        <v/>
      </c>
      <c r="AD39" s="71" t="s">
        <v>237</v>
      </c>
      <c r="AE39" s="250" t="str">
        <f>IF(AF5="Outpatient Rx",AG8,IF(AF9="Sterile Prep",AE23,IF(AF11="Sterile Prep",AE23,"")))</f>
        <v/>
      </c>
      <c r="AH39" s="71" t="s">
        <v>237</v>
      </c>
      <c r="AI39" s="250" t="str">
        <f>IF(AJ5="Outpatient Rx",AK8,IF(AJ9="Sterile Prep",AI23,IF(AJ11="Sterile Prep",AI23,"")))</f>
        <v/>
      </c>
    </row>
    <row r="40" spans="1:38" ht="62.4" customHeight="1" x14ac:dyDescent="0.3">
      <c r="A40" s="311" t="s">
        <v>275</v>
      </c>
      <c r="B40" s="323"/>
      <c r="C40" s="324"/>
      <c r="D40" s="324"/>
      <c r="E40" s="324"/>
      <c r="F40" s="319"/>
      <c r="G40" s="324"/>
      <c r="H40" s="324"/>
      <c r="I40" s="324"/>
      <c r="J40" s="319"/>
      <c r="K40" s="324"/>
      <c r="L40" s="324"/>
      <c r="M40" s="324"/>
      <c r="N40" s="319"/>
      <c r="O40" s="324"/>
      <c r="P40" s="324"/>
      <c r="Q40" s="324"/>
      <c r="R40" s="319"/>
      <c r="S40" s="324"/>
      <c r="T40" s="324"/>
      <c r="U40" s="324"/>
      <c r="V40" s="319"/>
      <c r="W40" s="324"/>
      <c r="X40" s="324"/>
      <c r="Y40" s="324"/>
      <c r="Z40" s="319"/>
      <c r="AA40" s="324"/>
      <c r="AB40" s="324"/>
      <c r="AC40" s="324"/>
      <c r="AD40" s="319"/>
      <c r="AE40" s="324"/>
      <c r="AF40" s="324"/>
      <c r="AG40" s="324"/>
      <c r="AH40" s="325"/>
      <c r="AI40" s="100"/>
      <c r="AJ40" s="100"/>
      <c r="AK40" s="100"/>
      <c r="AL40" s="100"/>
    </row>
    <row r="43" spans="1:38" x14ac:dyDescent="0.3">
      <c r="B43" s="100"/>
    </row>
    <row r="47" spans="1:38" x14ac:dyDescent="0.3">
      <c r="E47" s="12"/>
    </row>
  </sheetData>
  <sheetProtection algorithmName="SHA-512" hashValue="6BNiLM8sT6YOOSlb7aOhyy+E5AGykOFMxDHvBUkepSnlnF4B6rSkC832VL94U/ORmAQn2HJd2Xh9ZLSG2+guSg==" saltValue="eobqNFpqRsHLdIrTrxqjww==" spinCount="100000" sheet="1" selectLockedCells="1"/>
  <dataValidations count="4">
    <dataValidation type="whole" allowBlank="1" showInputMessage="1" showErrorMessage="1" sqref="B15 B17 F15 F17 J15 J17 N15 N17 R15 R17 V15 V17 Z15 Z17 AD15 AD17 AH15 AH17" xr:uid="{4BE58432-9683-4AE7-8082-217E22ABB905}">
      <formula1>1</formula1>
      <formula2>20</formula2>
    </dataValidation>
    <dataValidation type="whole" allowBlank="1" showInputMessage="1" showErrorMessage="1" sqref="B8 F8 J8 N8 R8 V8 Z8 AD8 AH8" xr:uid="{F4341046-166D-4A13-991B-60A3DA3291EE}">
      <formula1>1</formula1>
      <formula2>9999</formula2>
    </dataValidation>
    <dataValidation type="whole" allowBlank="1" showInputMessage="1" showErrorMessage="1" sqref="B2:B3 F2:F3 J2:J3 N2:N3 R2:R3 V2:V3 Z2:Z3 AD2:AD3 AH2:AH3" xr:uid="{5519428B-FDAB-43F0-8A40-E7AD2974FB52}">
      <formula1>1</formula1>
      <formula2>999</formula2>
    </dataValidation>
    <dataValidation type="list" allowBlank="1" showInputMessage="1" showErrorMessage="1" sqref="F9:F14 F16 B16 B18:B20 F18:F20 J9:J14 J16 J18:J20 N9:N14 N16 N18:N20 R9:R14 R16 R18:R20 V9:V14 V16 V18:V20 Z9:Z14 Z16 Z18:Z20 AD9:AD14 AD16 AD18:AD20 AH9:AH14 AH16 AH18:AH20 B9:B14 B4:B7 F4:F7 AH4:AH7 AD4:AD7 Z4:Z7 V4:V7 R4:R7 N4:N7 J4:J7" xr:uid="{CA751CFB-19BD-4BA6-9A58-EA38A264D15B}">
      <formula1>$EF$5:$EF$6</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249977111117893"/>
  </sheetPr>
  <dimension ref="A1:AL83"/>
  <sheetViews>
    <sheetView zoomScaleNormal="100" workbookViewId="0">
      <pane ySplit="1" topLeftCell="A2" activePane="bottomLeft" state="frozen"/>
      <selection activeCell="U13" sqref="U13"/>
      <selection pane="bottomLeft" activeCell="A24" sqref="A24:C24"/>
    </sheetView>
  </sheetViews>
  <sheetFormatPr defaultColWidth="8.77734375" defaultRowHeight="14.4" x14ac:dyDescent="0.3"/>
  <cols>
    <col min="1" max="1" width="26" customWidth="1"/>
    <col min="2" max="2" width="8.6640625" customWidth="1"/>
    <col min="3" max="3" width="8.77734375" customWidth="1"/>
    <col min="4" max="4" width="21.33203125" customWidth="1"/>
    <col min="5" max="5" width="9.88671875" customWidth="1"/>
    <col min="6" max="6" width="11.44140625" customWidth="1"/>
    <col min="7" max="7" width="9" customWidth="1"/>
    <col min="8" max="8" width="7.6640625" customWidth="1"/>
    <col min="9" max="9" width="8" customWidth="1"/>
    <col min="10" max="10" width="2.44140625" customWidth="1"/>
    <col min="11" max="11" width="10.6640625" style="8" customWidth="1"/>
    <col min="12" max="12" width="25.109375" style="1" customWidth="1"/>
    <col min="13" max="13" width="71.109375" style="1" customWidth="1"/>
    <col min="14" max="15" width="10.44140625" hidden="1" customWidth="1"/>
    <col min="16" max="16" width="11.44140625" hidden="1" customWidth="1"/>
    <col min="17" max="17" width="12" style="44" hidden="1" customWidth="1"/>
    <col min="18" max="21" width="11.44140625" style="44" hidden="1" customWidth="1"/>
    <col min="22" max="22" width="11.44140625" style="11" hidden="1" customWidth="1"/>
    <col min="23" max="23" width="8.77734375" style="44" hidden="1" customWidth="1"/>
    <col min="24" max="24" width="17.44140625" hidden="1" customWidth="1"/>
    <col min="25" max="25" width="8.77734375" hidden="1" customWidth="1"/>
    <col min="26" max="26" width="20" hidden="1" customWidth="1"/>
    <col min="27" max="27" width="17.77734375" hidden="1" customWidth="1"/>
    <col min="28" max="28" width="15.33203125" hidden="1" customWidth="1"/>
    <col min="29" max="29" width="47.5546875" hidden="1" customWidth="1"/>
    <col min="30" max="30" width="8.77734375" hidden="1" customWidth="1"/>
    <col min="31" max="31" width="11.21875" hidden="1" customWidth="1"/>
    <col min="32" max="38" width="8.77734375" hidden="1" customWidth="1"/>
    <col min="39" max="42" width="8.77734375" customWidth="1"/>
  </cols>
  <sheetData>
    <row r="1" spans="1:35" ht="25.2" customHeight="1" thickBot="1" x14ac:dyDescent="0.35">
      <c r="A1" s="558" t="s">
        <v>200</v>
      </c>
      <c r="B1" s="558"/>
      <c r="C1" s="558"/>
      <c r="D1" s="558"/>
      <c r="E1" s="558"/>
      <c r="F1" s="558"/>
      <c r="G1" s="558"/>
      <c r="H1" s="558"/>
      <c r="I1" s="559"/>
      <c r="J1" s="180"/>
      <c r="K1" s="162" t="s">
        <v>160</v>
      </c>
      <c r="L1" s="163" t="s">
        <v>23</v>
      </c>
      <c r="M1" s="164" t="s">
        <v>151</v>
      </c>
      <c r="N1" s="85" t="s">
        <v>212</v>
      </c>
      <c r="O1" s="86" t="s">
        <v>213</v>
      </c>
      <c r="P1" s="86" t="s">
        <v>214</v>
      </c>
      <c r="Q1" s="82" t="s">
        <v>175</v>
      </c>
      <c r="R1" s="83" t="s">
        <v>24</v>
      </c>
      <c r="S1" s="87" t="s">
        <v>176</v>
      </c>
      <c r="T1" s="184" t="s">
        <v>208</v>
      </c>
      <c r="U1" s="83" t="s">
        <v>169</v>
      </c>
      <c r="V1" s="87" t="s">
        <v>177</v>
      </c>
      <c r="W1" s="73" t="s">
        <v>65</v>
      </c>
      <c r="X1" s="11" t="str">
        <f>IF('Estimate Details'!C1="","",'Estimate Details'!C1)</f>
        <v/>
      </c>
      <c r="Z1" s="84" t="s">
        <v>178</v>
      </c>
      <c r="AA1" s="84" t="s">
        <v>179</v>
      </c>
      <c r="AB1" s="84" t="s">
        <v>24</v>
      </c>
    </row>
    <row r="2" spans="1:35" ht="27.45" customHeight="1" x14ac:dyDescent="0.35">
      <c r="A2" s="580" t="s">
        <v>236</v>
      </c>
      <c r="B2" s="581"/>
      <c r="C2" s="581"/>
      <c r="D2" s="582"/>
      <c r="E2" s="582"/>
      <c r="F2" s="582"/>
      <c r="G2" s="582"/>
      <c r="H2" s="582"/>
      <c r="I2" s="10"/>
      <c r="J2" s="180"/>
      <c r="K2" s="284" t="s">
        <v>79</v>
      </c>
      <c r="L2" s="285" t="s">
        <v>315</v>
      </c>
      <c r="M2" s="286" t="s">
        <v>318</v>
      </c>
      <c r="N2" s="72">
        <v>380.26929305343384</v>
      </c>
      <c r="O2" s="70">
        <v>513.36</v>
      </c>
      <c r="P2" s="70">
        <v>693.04</v>
      </c>
      <c r="Q2" s="74">
        <f>COUNTIF($A$4:$A$10,L2)</f>
        <v>0</v>
      </c>
      <c r="R2" s="75">
        <f>SUMIF($A$4:$A$10,L2,$C$4:$C$10)</f>
        <v>0</v>
      </c>
      <c r="S2" s="88">
        <f>IF($X$1="",0,IF($X$1="Non-Industry",N2,IF($X$1="Industry",O2,P2)))</f>
        <v>0</v>
      </c>
      <c r="T2" s="75"/>
      <c r="U2" s="75"/>
      <c r="V2" s="90">
        <f>Q2*R2*S2</f>
        <v>0</v>
      </c>
      <c r="W2" s="73" t="s">
        <v>66</v>
      </c>
      <c r="Z2" s="38" t="str">
        <f>IF(B13="No",A13,"")</f>
        <v/>
      </c>
      <c r="AA2" s="40" t="str">
        <f>IF(B13="No",E13,"")</f>
        <v/>
      </c>
      <c r="AB2" s="40" t="str">
        <f>IF(B13="No",F13*H13,"")</f>
        <v/>
      </c>
    </row>
    <row r="3" spans="1:35" ht="25.2" customHeight="1" x14ac:dyDescent="0.3">
      <c r="A3" s="578" t="s">
        <v>180</v>
      </c>
      <c r="B3" s="579"/>
      <c r="C3" s="283" t="s">
        <v>24</v>
      </c>
      <c r="D3" s="576" t="s">
        <v>199</v>
      </c>
      <c r="E3" s="577"/>
      <c r="F3" s="577"/>
      <c r="G3" s="577"/>
      <c r="H3" s="577"/>
      <c r="I3" s="400"/>
      <c r="J3" s="180"/>
      <c r="K3" s="298" t="s">
        <v>79</v>
      </c>
      <c r="L3" s="299" t="s">
        <v>316</v>
      </c>
      <c r="M3" s="299" t="s">
        <v>319</v>
      </c>
      <c r="N3" s="195">
        <v>475.9566484217541</v>
      </c>
      <c r="O3" s="70">
        <v>642.54</v>
      </c>
      <c r="P3" s="70">
        <v>867.43</v>
      </c>
      <c r="Q3" s="74">
        <f t="shared" ref="Q3:Q10" si="0">COUNTIF($A$4:$A$10,L3)</f>
        <v>0</v>
      </c>
      <c r="R3" s="75">
        <f t="shared" ref="R3:R10" si="1">SUMIF($A$4:$A$10,L3,$C$4:$C$10)</f>
        <v>0</v>
      </c>
      <c r="S3" s="88">
        <f t="shared" ref="S3:S40" si="2">IF($X$1="",0,IF($X$1="Non-Industry",N3,IF($X$1="Industry",O3,P3)))</f>
        <v>0</v>
      </c>
      <c r="T3" s="75"/>
      <c r="U3" s="75"/>
      <c r="V3" s="90">
        <f t="shared" ref="V3:V10" si="3">Q3*R3*S3</f>
        <v>0</v>
      </c>
      <c r="W3" s="73"/>
      <c r="Y3" s="103"/>
      <c r="Z3" s="38" t="str">
        <f>IF(B14="No",A14,"")</f>
        <v/>
      </c>
      <c r="AA3" s="38" t="str">
        <f t="shared" ref="AA3:AA10" si="4">IF(B14="No",E14,"")</f>
        <v/>
      </c>
      <c r="AB3" s="38" t="str">
        <f>IF(B14="No",F14*H14,"")</f>
        <v/>
      </c>
      <c r="AC3" s="12"/>
    </row>
    <row r="4" spans="1:35" ht="27" customHeight="1" x14ac:dyDescent="0.3">
      <c r="A4" s="587"/>
      <c r="B4" s="587"/>
      <c r="C4" s="122"/>
      <c r="D4" s="567"/>
      <c r="E4" s="568"/>
      <c r="F4" s="568"/>
      <c r="G4" s="568"/>
      <c r="H4" s="568"/>
      <c r="I4" s="569"/>
      <c r="J4" s="288"/>
      <c r="K4" s="298" t="s">
        <v>79</v>
      </c>
      <c r="L4" s="299" t="s">
        <v>317</v>
      </c>
      <c r="M4" s="299" t="s">
        <v>320</v>
      </c>
      <c r="N4" s="195">
        <v>890</v>
      </c>
      <c r="O4" s="195">
        <v>1201.5</v>
      </c>
      <c r="P4" s="196">
        <v>1622.03</v>
      </c>
      <c r="Q4" s="74">
        <f t="shared" si="0"/>
        <v>0</v>
      </c>
      <c r="R4" s="75">
        <f t="shared" si="1"/>
        <v>0</v>
      </c>
      <c r="S4" s="88">
        <f t="shared" si="2"/>
        <v>0</v>
      </c>
      <c r="T4" s="75"/>
      <c r="U4" s="75"/>
      <c r="V4" s="90">
        <f t="shared" si="3"/>
        <v>0</v>
      </c>
      <c r="W4" s="73"/>
      <c r="Y4" s="103"/>
      <c r="Z4" s="38" t="str">
        <f t="shared" ref="Z4:Z9" si="5">IF(B15="No",A15,"")</f>
        <v/>
      </c>
      <c r="AA4" s="38" t="str">
        <f t="shared" si="4"/>
        <v/>
      </c>
      <c r="AB4" s="38" t="str">
        <f t="shared" ref="AB4:AB10" si="6">IF(B15="No",F15*H15,"")</f>
        <v/>
      </c>
    </row>
    <row r="5" spans="1:35" ht="27" customHeight="1" x14ac:dyDescent="0.3">
      <c r="A5" s="587"/>
      <c r="B5" s="606"/>
      <c r="C5" s="123"/>
      <c r="D5" s="570"/>
      <c r="E5" s="571"/>
      <c r="F5" s="571"/>
      <c r="G5" s="571"/>
      <c r="H5" s="571"/>
      <c r="I5" s="477"/>
      <c r="J5" s="288"/>
      <c r="K5" s="298" t="s">
        <v>79</v>
      </c>
      <c r="L5" s="299" t="s">
        <v>215</v>
      </c>
      <c r="M5" s="299" t="s">
        <v>219</v>
      </c>
      <c r="N5" s="195">
        <f>ROUND(101.56*1.05,2)</f>
        <v>106.64</v>
      </c>
      <c r="O5" s="70">
        <f>ROUND(N5*1.35,2)</f>
        <v>143.96</v>
      </c>
      <c r="P5" s="70">
        <f>ROUND(O5*1.35,2)</f>
        <v>194.35</v>
      </c>
      <c r="Q5" s="74">
        <f t="shared" si="0"/>
        <v>0</v>
      </c>
      <c r="R5" s="75">
        <f t="shared" si="1"/>
        <v>0</v>
      </c>
      <c r="S5" s="88">
        <f t="shared" si="2"/>
        <v>0</v>
      </c>
      <c r="T5" s="75"/>
      <c r="U5" s="75"/>
      <c r="V5" s="90">
        <f t="shared" si="3"/>
        <v>0</v>
      </c>
      <c r="W5" s="73"/>
      <c r="Y5" s="103"/>
      <c r="Z5" s="38" t="str">
        <f t="shared" si="5"/>
        <v/>
      </c>
      <c r="AA5" s="38" t="str">
        <f t="shared" si="4"/>
        <v/>
      </c>
      <c r="AB5" s="38" t="str">
        <f t="shared" si="6"/>
        <v/>
      </c>
    </row>
    <row r="6" spans="1:35" ht="27" customHeight="1" x14ac:dyDescent="0.3">
      <c r="A6" s="587"/>
      <c r="B6" s="606"/>
      <c r="C6" s="123"/>
      <c r="D6" s="570"/>
      <c r="E6" s="571"/>
      <c r="F6" s="571"/>
      <c r="G6" s="571"/>
      <c r="H6" s="571"/>
      <c r="I6" s="477"/>
      <c r="J6" s="289"/>
      <c r="K6" s="298" t="s">
        <v>79</v>
      </c>
      <c r="L6" s="299" t="s">
        <v>216</v>
      </c>
      <c r="M6" s="299" t="s">
        <v>220</v>
      </c>
      <c r="N6" s="195">
        <v>17.908347952225704</v>
      </c>
      <c r="O6" s="70">
        <v>24.18</v>
      </c>
      <c r="P6" s="70">
        <v>32.64</v>
      </c>
      <c r="Q6" s="74">
        <f t="shared" si="0"/>
        <v>0</v>
      </c>
      <c r="R6" s="75">
        <f t="shared" si="1"/>
        <v>0</v>
      </c>
      <c r="S6" s="88">
        <f t="shared" si="2"/>
        <v>0</v>
      </c>
      <c r="T6" s="75"/>
      <c r="U6" s="75"/>
      <c r="V6" s="90">
        <f t="shared" si="3"/>
        <v>0</v>
      </c>
      <c r="W6" s="73"/>
      <c r="Y6" s="103"/>
      <c r="Z6" s="38" t="str">
        <f t="shared" si="5"/>
        <v/>
      </c>
      <c r="AA6" s="38" t="str">
        <f t="shared" si="4"/>
        <v/>
      </c>
      <c r="AB6" s="38" t="str">
        <f t="shared" si="6"/>
        <v/>
      </c>
    </row>
    <row r="7" spans="1:35" ht="27" customHeight="1" x14ac:dyDescent="0.3">
      <c r="A7" s="587"/>
      <c r="B7" s="606"/>
      <c r="C7" s="123"/>
      <c r="D7" s="591"/>
      <c r="E7" s="587"/>
      <c r="F7" s="587"/>
      <c r="G7" s="587"/>
      <c r="H7" s="587"/>
      <c r="I7" s="592"/>
      <c r="J7" s="288"/>
      <c r="K7" s="298" t="s">
        <v>79</v>
      </c>
      <c r="L7" s="299" t="s">
        <v>217</v>
      </c>
      <c r="M7" s="299" t="s">
        <v>221</v>
      </c>
      <c r="N7" s="195">
        <v>16.251808926356837</v>
      </c>
      <c r="O7" s="70">
        <v>21.94</v>
      </c>
      <c r="P7" s="70">
        <v>29.62</v>
      </c>
      <c r="Q7" s="74">
        <f t="shared" si="0"/>
        <v>0</v>
      </c>
      <c r="R7" s="75">
        <f t="shared" si="1"/>
        <v>0</v>
      </c>
      <c r="S7" s="88">
        <f t="shared" si="2"/>
        <v>0</v>
      </c>
      <c r="T7" s="75"/>
      <c r="U7" s="75"/>
      <c r="V7" s="90">
        <f t="shared" si="3"/>
        <v>0</v>
      </c>
      <c r="W7" s="73"/>
      <c r="Y7" s="103"/>
      <c r="Z7" s="38" t="str">
        <f t="shared" si="5"/>
        <v/>
      </c>
      <c r="AA7" s="38" t="str">
        <f t="shared" si="4"/>
        <v/>
      </c>
      <c r="AB7" s="38" t="str">
        <f t="shared" si="6"/>
        <v/>
      </c>
    </row>
    <row r="8" spans="1:35" ht="27" customHeight="1" x14ac:dyDescent="0.3">
      <c r="A8" s="587"/>
      <c r="B8" s="606"/>
      <c r="C8" s="123"/>
      <c r="D8" s="591"/>
      <c r="E8" s="587"/>
      <c r="F8" s="587"/>
      <c r="G8" s="587"/>
      <c r="H8" s="587"/>
      <c r="I8" s="592"/>
      <c r="J8" s="185"/>
      <c r="K8" s="298" t="s">
        <v>79</v>
      </c>
      <c r="L8" s="299" t="s">
        <v>218</v>
      </c>
      <c r="M8" s="299" t="s">
        <v>222</v>
      </c>
      <c r="N8" s="195">
        <v>7.1768346170736059</v>
      </c>
      <c r="O8" s="195">
        <v>9.69</v>
      </c>
      <c r="P8" s="195">
        <v>13.08</v>
      </c>
      <c r="Q8" s="74">
        <f t="shared" si="0"/>
        <v>0</v>
      </c>
      <c r="R8" s="75">
        <f t="shared" si="1"/>
        <v>0</v>
      </c>
      <c r="S8" s="88">
        <f t="shared" si="2"/>
        <v>0</v>
      </c>
      <c r="T8" s="74"/>
      <c r="U8" s="198"/>
      <c r="V8" s="90">
        <f t="shared" si="3"/>
        <v>0</v>
      </c>
      <c r="W8" s="73"/>
      <c r="Y8" s="103"/>
      <c r="Z8" s="38" t="str">
        <f t="shared" si="5"/>
        <v/>
      </c>
      <c r="AA8" s="38" t="str">
        <f t="shared" si="4"/>
        <v/>
      </c>
      <c r="AB8" s="38" t="str">
        <f t="shared" si="6"/>
        <v/>
      </c>
    </row>
    <row r="9" spans="1:35" ht="27.45" customHeight="1" x14ac:dyDescent="0.3">
      <c r="A9" s="587"/>
      <c r="B9" s="587"/>
      <c r="C9" s="123"/>
      <c r="D9" s="591"/>
      <c r="E9" s="587"/>
      <c r="F9" s="587"/>
      <c r="G9" s="587"/>
      <c r="H9" s="587"/>
      <c r="I9" s="592"/>
      <c r="J9" s="194"/>
      <c r="K9" s="298" t="s">
        <v>79</v>
      </c>
      <c r="L9" s="299" t="s">
        <v>266</v>
      </c>
      <c r="M9" s="299" t="s">
        <v>267</v>
      </c>
      <c r="N9" s="195">
        <v>250</v>
      </c>
      <c r="O9" s="195">
        <v>337.5</v>
      </c>
      <c r="P9" s="196">
        <v>455.63</v>
      </c>
      <c r="Q9" s="74">
        <f t="shared" si="0"/>
        <v>0</v>
      </c>
      <c r="R9" s="75">
        <f t="shared" si="1"/>
        <v>0</v>
      </c>
      <c r="S9" s="88">
        <f t="shared" si="2"/>
        <v>0</v>
      </c>
      <c r="T9" s="75"/>
      <c r="U9" s="197"/>
      <c r="V9" s="90">
        <f t="shared" si="3"/>
        <v>0</v>
      </c>
      <c r="W9" s="73"/>
      <c r="Y9" s="103"/>
      <c r="Z9" s="38" t="str">
        <f t="shared" si="5"/>
        <v/>
      </c>
      <c r="AA9" s="38" t="str">
        <f t="shared" si="4"/>
        <v/>
      </c>
      <c r="AB9" s="38" t="str">
        <f t="shared" si="6"/>
        <v/>
      </c>
      <c r="AC9" s="98" t="str">
        <f t="shared" ref="AC9:AC17" si="7">IF(A13="","",CONCATENATE($K$11,": ",C13," (",A13,")"))</f>
        <v/>
      </c>
      <c r="AD9" s="115" t="str">
        <f t="shared" ref="AD9:AD17" si="8">IF(AC9="","",G13*H13)</f>
        <v/>
      </c>
      <c r="AE9" s="115" t="str">
        <f>IF(AC9="","",VLOOKUP(C13,$L$11:$S$18,8,FALSE))</f>
        <v/>
      </c>
      <c r="AF9" s="221" t="str">
        <f>IF(AC9="","",AD9*AE9)</f>
        <v/>
      </c>
    </row>
    <row r="10" spans="1:35" ht="27.45" customHeight="1" thickBot="1" x14ac:dyDescent="0.35">
      <c r="A10" s="587"/>
      <c r="B10" s="587"/>
      <c r="C10" s="125"/>
      <c r="D10" s="593"/>
      <c r="E10" s="594"/>
      <c r="F10" s="594"/>
      <c r="G10" s="594"/>
      <c r="H10" s="594"/>
      <c r="I10" s="595"/>
      <c r="J10" s="194"/>
      <c r="K10" s="298" t="s">
        <v>79</v>
      </c>
      <c r="L10" s="299" t="s">
        <v>259</v>
      </c>
      <c r="M10" s="299" t="s">
        <v>260</v>
      </c>
      <c r="N10" s="76">
        <v>0</v>
      </c>
      <c r="O10" s="76">
        <v>0</v>
      </c>
      <c r="P10" s="76">
        <v>0</v>
      </c>
      <c r="Q10" s="77">
        <f t="shared" si="0"/>
        <v>0</v>
      </c>
      <c r="R10" s="79">
        <f t="shared" si="1"/>
        <v>0</v>
      </c>
      <c r="S10" s="89">
        <f t="shared" si="2"/>
        <v>0</v>
      </c>
      <c r="T10" s="78"/>
      <c r="U10" s="78"/>
      <c r="V10" s="91">
        <f t="shared" si="3"/>
        <v>0</v>
      </c>
      <c r="W10" s="73"/>
      <c r="Y10" s="103"/>
      <c r="Z10" s="68" t="str">
        <f>IF(B21="No",A21,"")</f>
        <v/>
      </c>
      <c r="AA10" s="68" t="str">
        <f t="shared" si="4"/>
        <v/>
      </c>
      <c r="AB10" s="68" t="str">
        <f t="shared" si="6"/>
        <v/>
      </c>
      <c r="AC10" s="71" t="str">
        <f t="shared" si="7"/>
        <v/>
      </c>
      <c r="AD10" s="12" t="str">
        <f t="shared" si="8"/>
        <v/>
      </c>
      <c r="AE10" s="12" t="str">
        <f t="shared" ref="AE10:AE17" si="9">IF(AC10="","",VLOOKUP(C14,$L$11:$S$19,8,FALSE))</f>
        <v/>
      </c>
      <c r="AF10" s="103" t="str">
        <f t="shared" ref="AF10:AF17" si="10">IF(AC10="","",AD10*AE10)</f>
        <v/>
      </c>
    </row>
    <row r="11" spans="1:35" ht="27.45" hidden="1" customHeight="1" thickBot="1" x14ac:dyDescent="0.4">
      <c r="A11" s="574" t="s">
        <v>168</v>
      </c>
      <c r="B11" s="575"/>
      <c r="C11" s="575"/>
      <c r="D11" s="575"/>
      <c r="E11" s="575"/>
      <c r="F11" s="575"/>
      <c r="G11" s="575"/>
      <c r="H11" s="575"/>
      <c r="I11" s="402"/>
      <c r="J11" s="194"/>
      <c r="K11" s="291" t="s">
        <v>80</v>
      </c>
      <c r="L11" s="290" t="s">
        <v>309</v>
      </c>
      <c r="M11" s="287" t="s">
        <v>238</v>
      </c>
      <c r="N11" s="72">
        <v>29.88</v>
      </c>
      <c r="O11" s="70">
        <v>40.340000000000003</v>
      </c>
      <c r="P11" s="70">
        <v>54.46</v>
      </c>
      <c r="Q11" s="74">
        <f t="shared" ref="Q11:Q18" si="11">COUNTIF($C$13:$D$21,L11)</f>
        <v>0</v>
      </c>
      <c r="R11" s="75">
        <f ca="1">SUMIF($C$13:$D$21,L11,$J$13:$J$21)</f>
        <v>0</v>
      </c>
      <c r="S11" s="88">
        <f t="shared" si="2"/>
        <v>0</v>
      </c>
      <c r="T11" s="75">
        <f t="shared" ref="T11:T18" ca="1" si="12">SUMIF($C$13:$D$21,L11,$G$13:$G$21)</f>
        <v>0</v>
      </c>
      <c r="U11" s="75">
        <f t="shared" ref="U11:U16" si="13">IF(Q11=0,0,(SUMIF($C$13:$D$21,L11,$H$13:$H$21))/Q11)</f>
        <v>0</v>
      </c>
      <c r="V11" s="90">
        <f t="shared" ref="V11:V27" ca="1" si="14">R11*S11</f>
        <v>0</v>
      </c>
      <c r="W11" s="73"/>
      <c r="Z11" s="12"/>
      <c r="AA11" s="12"/>
      <c r="AB11" s="12"/>
      <c r="AC11" s="71" t="str">
        <f t="shared" si="7"/>
        <v/>
      </c>
      <c r="AD11" s="12" t="str">
        <f t="shared" si="8"/>
        <v/>
      </c>
      <c r="AE11" s="12" t="str">
        <f t="shared" si="9"/>
        <v/>
      </c>
      <c r="AF11" s="103" t="str">
        <f t="shared" si="10"/>
        <v/>
      </c>
    </row>
    <row r="12" spans="1:35" ht="27.45" hidden="1" customHeight="1" thickBot="1" x14ac:dyDescent="0.35">
      <c r="A12" s="159" t="s">
        <v>204</v>
      </c>
      <c r="B12" s="92" t="s">
        <v>201</v>
      </c>
      <c r="C12" s="583" t="s">
        <v>181</v>
      </c>
      <c r="D12" s="584"/>
      <c r="E12" s="155" t="s">
        <v>206</v>
      </c>
      <c r="F12" s="155" t="s">
        <v>209</v>
      </c>
      <c r="G12" s="182" t="s">
        <v>207</v>
      </c>
      <c r="H12" s="160" t="s">
        <v>169</v>
      </c>
      <c r="I12" s="192" t="s">
        <v>223</v>
      </c>
      <c r="J12" s="194"/>
      <c r="K12" s="165" t="s">
        <v>80</v>
      </c>
      <c r="L12" s="166" t="s">
        <v>310</v>
      </c>
      <c r="M12" s="167" t="s">
        <v>240</v>
      </c>
      <c r="N12" s="72">
        <v>43.71</v>
      </c>
      <c r="O12" s="70">
        <v>59.01</v>
      </c>
      <c r="P12" s="70">
        <v>79.66</v>
      </c>
      <c r="Q12" s="74">
        <f t="shared" si="11"/>
        <v>0</v>
      </c>
      <c r="R12" s="75">
        <f t="shared" ref="R12:R18" ca="1" si="15">SUMIF($C$13:$D$21,L12,$J$13:$J$21)</f>
        <v>0</v>
      </c>
      <c r="S12" s="88">
        <f t="shared" si="2"/>
        <v>0</v>
      </c>
      <c r="T12" s="75">
        <f t="shared" ca="1" si="12"/>
        <v>0</v>
      </c>
      <c r="U12" s="75">
        <f t="shared" si="13"/>
        <v>0</v>
      </c>
      <c r="V12" s="90">
        <f t="shared" ca="1" si="14"/>
        <v>0</v>
      </c>
      <c r="W12" s="73"/>
      <c r="Z12" t="str">
        <f>IF(SUM('Protocol Cover Sheet'!$O$27:$O$35)&gt;0,1,"")</f>
        <v/>
      </c>
      <c r="AA12" s="174" t="str">
        <f>IF(Z12="","",VLOOKUP(Z12,'Protocol Cover Sheet'!$O$27:$Q$35,3,FALSE))</f>
        <v/>
      </c>
      <c r="AB12" s="174" t="str">
        <f>IF(Z12="","",VLOOKUP(Z12,'Protocol Cover Sheet'!$O$27:$Q$35,2,FALSE))</f>
        <v/>
      </c>
      <c r="AC12" s="71" t="str">
        <f t="shared" si="7"/>
        <v/>
      </c>
      <c r="AD12" s="12" t="str">
        <f t="shared" si="8"/>
        <v/>
      </c>
      <c r="AE12" s="12" t="str">
        <f t="shared" si="9"/>
        <v/>
      </c>
      <c r="AF12" s="103" t="str">
        <f t="shared" si="10"/>
        <v/>
      </c>
    </row>
    <row r="13" spans="1:35" ht="27.45" hidden="1" customHeight="1" thickBot="1" x14ac:dyDescent="0.35">
      <c r="A13" s="175" t="str">
        <f>'Manufacturing-Testing-Other'!AA12</f>
        <v/>
      </c>
      <c r="B13" s="176" t="str">
        <f>AB12</f>
        <v/>
      </c>
      <c r="C13" s="585" t="str">
        <f>IF(A13="","",Dispensing!B38)</f>
        <v/>
      </c>
      <c r="D13" s="569"/>
      <c r="E13" s="156"/>
      <c r="F13" s="187"/>
      <c r="G13" s="188" t="str">
        <f>IF(A13="","",Dispensing!B3)</f>
        <v/>
      </c>
      <c r="H13" s="189" t="str">
        <f>IF(A13="","",Dispensing!B2)</f>
        <v/>
      </c>
      <c r="I13" s="124" t="str">
        <f>IF(A13="","",Dispensing!B4)</f>
        <v/>
      </c>
      <c r="J13" s="292" t="e">
        <f>G13*H13</f>
        <v>#VALUE!</v>
      </c>
      <c r="K13" s="165" t="s">
        <v>80</v>
      </c>
      <c r="L13" s="166" t="s">
        <v>311</v>
      </c>
      <c r="M13" s="167" t="s">
        <v>313</v>
      </c>
      <c r="N13" s="72">
        <v>62.71</v>
      </c>
      <c r="O13" s="70">
        <v>84.66</v>
      </c>
      <c r="P13" s="70">
        <v>114.29</v>
      </c>
      <c r="Q13" s="74">
        <f t="shared" si="11"/>
        <v>0</v>
      </c>
      <c r="R13" s="75">
        <f t="shared" ca="1" si="15"/>
        <v>0</v>
      </c>
      <c r="S13" s="88">
        <f t="shared" si="2"/>
        <v>0</v>
      </c>
      <c r="T13" s="75">
        <f t="shared" ca="1" si="12"/>
        <v>0</v>
      </c>
      <c r="U13" s="75">
        <f t="shared" si="13"/>
        <v>0</v>
      </c>
      <c r="V13" s="90">
        <f t="shared" ca="1" si="14"/>
        <v>0</v>
      </c>
      <c r="W13" s="73"/>
      <c r="Z13" t="str">
        <f>IF(SUM('Protocol Cover Sheet'!$O$27:$O$35)&gt;2,2,"")</f>
        <v/>
      </c>
      <c r="AA13" s="174" t="str">
        <f>IF(Z13="","",VLOOKUP(Z13,'Protocol Cover Sheet'!$O$27:$Q$35,3,FALSE))</f>
        <v/>
      </c>
      <c r="AB13" s="174" t="str">
        <f>IF(Z13="","",VLOOKUP(Z13,'Protocol Cover Sheet'!$O$27:$Q$35,2,FALSE))</f>
        <v/>
      </c>
      <c r="AC13" s="71" t="str">
        <f t="shared" si="7"/>
        <v/>
      </c>
      <c r="AD13" s="12" t="str">
        <f t="shared" si="8"/>
        <v/>
      </c>
      <c r="AE13" s="12" t="str">
        <f t="shared" si="9"/>
        <v/>
      </c>
      <c r="AF13" s="103" t="str">
        <f t="shared" si="10"/>
        <v/>
      </c>
    </row>
    <row r="14" spans="1:35" ht="35.4" hidden="1" customHeight="1" thickBot="1" x14ac:dyDescent="0.35">
      <c r="A14" s="175" t="str">
        <f>'Manufacturing-Testing-Other'!AA13</f>
        <v/>
      </c>
      <c r="B14" s="177" t="str">
        <f t="shared" ref="B14:B21" si="16">AB13</f>
        <v/>
      </c>
      <c r="C14" s="586" t="str">
        <f>IF(A14="","",Dispensing!F38)</f>
        <v/>
      </c>
      <c r="D14" s="477"/>
      <c r="E14" s="157"/>
      <c r="F14" s="190"/>
      <c r="G14" s="188" t="str">
        <f>IF(A14="","",Dispensing!F3)</f>
        <v/>
      </c>
      <c r="H14" s="189" t="str">
        <f>IF(A14="","",Dispensing!F2)</f>
        <v/>
      </c>
      <c r="I14" s="124" t="str">
        <f>IF(A14="","",Dispensing!F4)</f>
        <v/>
      </c>
      <c r="J14" s="292" t="e">
        <f t="shared" ref="J14:J21" si="17">G14*H14</f>
        <v>#VALUE!</v>
      </c>
      <c r="K14" s="165" t="s">
        <v>80</v>
      </c>
      <c r="L14" s="166" t="s">
        <v>312</v>
      </c>
      <c r="M14" s="167" t="s">
        <v>314</v>
      </c>
      <c r="N14" s="72">
        <v>95.09</v>
      </c>
      <c r="O14" s="70">
        <v>128.37</v>
      </c>
      <c r="P14" s="70">
        <v>173.3</v>
      </c>
      <c r="Q14" s="74">
        <f t="shared" si="11"/>
        <v>0</v>
      </c>
      <c r="R14" s="75">
        <f t="shared" ca="1" si="15"/>
        <v>0</v>
      </c>
      <c r="S14" s="88">
        <f t="shared" si="2"/>
        <v>0</v>
      </c>
      <c r="T14" s="75">
        <f t="shared" ca="1" si="12"/>
        <v>0</v>
      </c>
      <c r="U14" s="75">
        <f t="shared" si="13"/>
        <v>0</v>
      </c>
      <c r="V14" s="90">
        <f t="shared" ca="1" si="14"/>
        <v>0</v>
      </c>
      <c r="W14" s="73"/>
      <c r="Z14" t="str">
        <f>IF(SUM('Protocol Cover Sheet'!$O$27:$O$35)&gt;5,3,"")</f>
        <v/>
      </c>
      <c r="AA14" s="174" t="str">
        <f>IF(Z14="","",VLOOKUP(Z14,'Protocol Cover Sheet'!$O$27:$Q$35,3,FALSE))</f>
        <v/>
      </c>
      <c r="AB14" s="174" t="str">
        <f>IF(Z14="","",VLOOKUP(Z14,'Protocol Cover Sheet'!$O$27:$Q$35,2,FALSE))</f>
        <v/>
      </c>
      <c r="AC14" s="71" t="str">
        <f t="shared" si="7"/>
        <v/>
      </c>
      <c r="AD14" s="12" t="str">
        <f t="shared" si="8"/>
        <v/>
      </c>
      <c r="AE14" s="12" t="str">
        <f t="shared" si="9"/>
        <v/>
      </c>
      <c r="AF14" s="103" t="str">
        <f t="shared" si="10"/>
        <v/>
      </c>
    </row>
    <row r="15" spans="1:35" ht="27.45" hidden="1" customHeight="1" thickBot="1" x14ac:dyDescent="0.35">
      <c r="A15" s="175" t="str">
        <f>'Manufacturing-Testing-Other'!AA14</f>
        <v/>
      </c>
      <c r="B15" s="178" t="str">
        <f t="shared" si="16"/>
        <v/>
      </c>
      <c r="C15" s="586" t="str">
        <f>IF(A15="","",Dispensing!J38)</f>
        <v/>
      </c>
      <c r="D15" s="477"/>
      <c r="E15" s="157"/>
      <c r="F15" s="190"/>
      <c r="G15" s="188" t="str">
        <f>IF(A15="","",Dispensing!J3)</f>
        <v/>
      </c>
      <c r="H15" s="189" t="str">
        <f>IF(A15="","",Dispensing!J2)</f>
        <v/>
      </c>
      <c r="I15" s="124" t="str">
        <f>IF(A15="","",Dispensing!J4)</f>
        <v/>
      </c>
      <c r="J15" s="292" t="e">
        <f t="shared" si="17"/>
        <v>#VALUE!</v>
      </c>
      <c r="K15" s="165" t="s">
        <v>80</v>
      </c>
      <c r="L15" s="166" t="s">
        <v>83</v>
      </c>
      <c r="M15" s="167" t="s">
        <v>238</v>
      </c>
      <c r="N15" s="72">
        <v>69.930000000000007</v>
      </c>
      <c r="O15" s="70">
        <v>94.41</v>
      </c>
      <c r="P15" s="70">
        <v>127.45</v>
      </c>
      <c r="Q15" s="74">
        <f t="shared" si="11"/>
        <v>0</v>
      </c>
      <c r="R15" s="75">
        <f t="shared" ca="1" si="15"/>
        <v>0</v>
      </c>
      <c r="S15" s="88">
        <f t="shared" si="2"/>
        <v>0</v>
      </c>
      <c r="T15" s="75">
        <f t="shared" ca="1" si="12"/>
        <v>0</v>
      </c>
      <c r="U15" s="75">
        <f t="shared" si="13"/>
        <v>0</v>
      </c>
      <c r="V15" s="90">
        <f t="shared" ca="1" si="14"/>
        <v>0</v>
      </c>
      <c r="W15" s="73"/>
      <c r="Z15" t="str">
        <f>IF(SUM('Protocol Cover Sheet'!$O$27:$O$35)&gt;9,4,"")</f>
        <v/>
      </c>
      <c r="AA15" s="174" t="str">
        <f>IF(Z15="","",VLOOKUP(Z15,'Protocol Cover Sheet'!$O$27:$Q$35,3,FALSE))</f>
        <v/>
      </c>
      <c r="AB15" s="174" t="str">
        <f>IF(Z15="","",VLOOKUP(Z15,'Protocol Cover Sheet'!$O$27:$Q$35,2,FALSE))</f>
        <v/>
      </c>
      <c r="AC15" s="71" t="str">
        <f t="shared" si="7"/>
        <v/>
      </c>
      <c r="AD15" s="12" t="str">
        <f t="shared" si="8"/>
        <v/>
      </c>
      <c r="AE15" s="12" t="str">
        <f t="shared" si="9"/>
        <v/>
      </c>
      <c r="AF15" s="103" t="str">
        <f t="shared" si="10"/>
        <v/>
      </c>
      <c r="AI15" s="12"/>
    </row>
    <row r="16" spans="1:35" ht="27.45" hidden="1" customHeight="1" thickBot="1" x14ac:dyDescent="0.35">
      <c r="A16" s="175" t="str">
        <f>'Manufacturing-Testing-Other'!AA15</f>
        <v/>
      </c>
      <c r="B16" s="177" t="str">
        <f t="shared" si="16"/>
        <v/>
      </c>
      <c r="C16" s="586" t="str">
        <f>IF(A16="","",Dispensing!N38)</f>
        <v/>
      </c>
      <c r="D16" s="477"/>
      <c r="E16" s="157"/>
      <c r="F16" s="190"/>
      <c r="G16" s="188" t="str">
        <f>IF(A16="","",Dispensing!N3)</f>
        <v/>
      </c>
      <c r="H16" s="189" t="str">
        <f>IF(A16="","",Dispensing!N2)</f>
        <v/>
      </c>
      <c r="I16" s="124" t="str">
        <f>IF(A16="","",Dispensing!N4)</f>
        <v/>
      </c>
      <c r="J16" s="292" t="e">
        <f t="shared" si="17"/>
        <v>#VALUE!</v>
      </c>
      <c r="K16" s="165" t="s">
        <v>80</v>
      </c>
      <c r="L16" s="166" t="s">
        <v>82</v>
      </c>
      <c r="M16" s="167" t="s">
        <v>240</v>
      </c>
      <c r="N16" s="72">
        <v>97.4</v>
      </c>
      <c r="O16" s="195">
        <v>131.49</v>
      </c>
      <c r="P16" s="195">
        <v>177.51</v>
      </c>
      <c r="Q16" s="74">
        <f t="shared" si="11"/>
        <v>0</v>
      </c>
      <c r="R16" s="75">
        <f t="shared" ca="1" si="15"/>
        <v>0</v>
      </c>
      <c r="S16" s="88">
        <f t="shared" si="2"/>
        <v>0</v>
      </c>
      <c r="T16" s="198">
        <f t="shared" ca="1" si="12"/>
        <v>0</v>
      </c>
      <c r="U16" s="197">
        <f t="shared" si="13"/>
        <v>0</v>
      </c>
      <c r="V16" s="90">
        <f t="shared" ca="1" si="14"/>
        <v>0</v>
      </c>
      <c r="W16" s="73"/>
      <c r="Z16" t="str">
        <f>IF(SUM('Protocol Cover Sheet'!$O$27:$O$35)&gt;14,5,"")</f>
        <v/>
      </c>
      <c r="AA16" s="174" t="str">
        <f>IF(Z16="","",VLOOKUP(Z16,'Protocol Cover Sheet'!$O$27:$Q$35,3,FALSE))</f>
        <v/>
      </c>
      <c r="AB16" s="174" t="str">
        <f>IF(Z16="","",VLOOKUP(Z16,'Protocol Cover Sheet'!$O$27:$Q$35,2,FALSE))</f>
        <v/>
      </c>
      <c r="AC16" s="71" t="str">
        <f t="shared" si="7"/>
        <v/>
      </c>
      <c r="AD16" s="12" t="str">
        <f t="shared" si="8"/>
        <v/>
      </c>
      <c r="AE16" s="12" t="str">
        <f t="shared" si="9"/>
        <v/>
      </c>
      <c r="AF16" s="103" t="str">
        <f t="shared" si="10"/>
        <v/>
      </c>
      <c r="AG16" s="12"/>
      <c r="AH16" s="12"/>
    </row>
    <row r="17" spans="1:32" ht="27.45" hidden="1" customHeight="1" thickBot="1" x14ac:dyDescent="0.35">
      <c r="A17" s="175" t="str">
        <f>'Manufacturing-Testing-Other'!AA16</f>
        <v/>
      </c>
      <c r="B17" s="178" t="str">
        <f t="shared" si="16"/>
        <v/>
      </c>
      <c r="C17" s="586" t="str">
        <f>IF(A17="","",Dispensing!R38)</f>
        <v/>
      </c>
      <c r="D17" s="477"/>
      <c r="E17" s="161"/>
      <c r="F17" s="190"/>
      <c r="G17" s="188" t="str">
        <f>IF(A17="","",Dispensing!R3)</f>
        <v/>
      </c>
      <c r="H17" s="189" t="str">
        <f>IF(A17="","",Dispensing!R2)</f>
        <v/>
      </c>
      <c r="I17" s="124" t="str">
        <f>IF(A17="","",Dispensing!R4)</f>
        <v/>
      </c>
      <c r="J17" s="292" t="e">
        <f t="shared" si="17"/>
        <v>#VALUE!</v>
      </c>
      <c r="K17" s="165" t="s">
        <v>80</v>
      </c>
      <c r="L17" s="166" t="s">
        <v>81</v>
      </c>
      <c r="M17" s="167" t="s">
        <v>243</v>
      </c>
      <c r="N17" s="72">
        <v>160.44999999999999</v>
      </c>
      <c r="O17" s="195">
        <v>216.61</v>
      </c>
      <c r="P17" s="195">
        <v>292.42</v>
      </c>
      <c r="Q17" s="74">
        <f t="shared" si="11"/>
        <v>0</v>
      </c>
      <c r="R17" s="75">
        <f t="shared" ca="1" si="15"/>
        <v>0</v>
      </c>
      <c r="S17" s="88">
        <f t="shared" si="2"/>
        <v>0</v>
      </c>
      <c r="T17" s="198">
        <f t="shared" ca="1" si="12"/>
        <v>0</v>
      </c>
      <c r="U17" s="197">
        <f t="shared" ref="U17:U18" si="18">IF(Q17=0,0,(SUMIF($C$13:$D$21,L17,$H$13:$H$21))/Q17)</f>
        <v>0</v>
      </c>
      <c r="V17" s="90">
        <f t="shared" ca="1" si="14"/>
        <v>0</v>
      </c>
      <c r="W17" s="73"/>
      <c r="Z17" t="str">
        <f>IF(SUM('Protocol Cover Sheet'!$O$27:$O$35)&gt;20,6,"")</f>
        <v/>
      </c>
      <c r="AA17" s="174" t="str">
        <f>IF(Z17="","",VLOOKUP(Z17,'Protocol Cover Sheet'!$O$27:$Q$35,3,FALSE))</f>
        <v/>
      </c>
      <c r="AB17" s="174" t="str">
        <f>IF(Z17="","",VLOOKUP(Z17,'Protocol Cover Sheet'!$O$27:$Q$35,2,FALSE))</f>
        <v/>
      </c>
      <c r="AC17" s="101" t="str">
        <f t="shared" si="7"/>
        <v/>
      </c>
      <c r="AD17" s="222" t="str">
        <f t="shared" si="8"/>
        <v/>
      </c>
      <c r="AE17" s="222" t="str">
        <f t="shared" si="9"/>
        <v/>
      </c>
      <c r="AF17" s="223" t="str">
        <f t="shared" si="10"/>
        <v/>
      </c>
    </row>
    <row r="18" spans="1:32" ht="27.45" hidden="1" customHeight="1" thickBot="1" x14ac:dyDescent="0.35">
      <c r="A18" s="175" t="str">
        <f>'Manufacturing-Testing-Other'!AA17</f>
        <v/>
      </c>
      <c r="B18" s="177" t="str">
        <f t="shared" si="16"/>
        <v/>
      </c>
      <c r="C18" s="586" t="str">
        <f>IF(A18="","",Dispensing!V38)</f>
        <v/>
      </c>
      <c r="D18" s="477"/>
      <c r="E18" s="161"/>
      <c r="F18" s="190"/>
      <c r="G18" s="188" t="str">
        <f>IF(A18="","",Dispensing!V3)</f>
        <v/>
      </c>
      <c r="H18" s="189" t="str">
        <f>IF(A18="","",Dispensing!V2)</f>
        <v/>
      </c>
      <c r="I18" s="124" t="str">
        <f>IF(A18="","",Dispensing!V4)</f>
        <v/>
      </c>
      <c r="J18" s="292" t="e">
        <f t="shared" si="17"/>
        <v>#VALUE!</v>
      </c>
      <c r="K18" s="165" t="s">
        <v>80</v>
      </c>
      <c r="L18" s="166" t="s">
        <v>245</v>
      </c>
      <c r="M18" s="167" t="s">
        <v>246</v>
      </c>
      <c r="N18" s="72">
        <v>289.27999999999997</v>
      </c>
      <c r="O18" s="195">
        <v>390.53</v>
      </c>
      <c r="P18" s="195">
        <v>527.22</v>
      </c>
      <c r="Q18" s="74">
        <f t="shared" si="11"/>
        <v>0</v>
      </c>
      <c r="R18" s="198">
        <f t="shared" ca="1" si="15"/>
        <v>0</v>
      </c>
      <c r="S18" s="88">
        <f t="shared" si="2"/>
        <v>0</v>
      </c>
      <c r="T18" s="198">
        <f t="shared" ca="1" si="12"/>
        <v>0</v>
      </c>
      <c r="U18" s="197">
        <f t="shared" si="18"/>
        <v>0</v>
      </c>
      <c r="V18" s="90">
        <f t="shared" ca="1" si="14"/>
        <v>0</v>
      </c>
      <c r="W18" s="73"/>
      <c r="Z18" t="str">
        <f>IF(SUM('Protocol Cover Sheet'!$O$27:$O$35)&gt;27,7,"")</f>
        <v/>
      </c>
      <c r="AA18" s="174" t="str">
        <f>IF(Z18="","",VLOOKUP(Z18,'Protocol Cover Sheet'!$O$27:$Q$35,3,FALSE))</f>
        <v/>
      </c>
      <c r="AB18" s="174" t="str">
        <f>IF(Z18="","",VLOOKUP(Z18,'Protocol Cover Sheet'!$O$27:$Q$35,2,FALSE))</f>
        <v/>
      </c>
    </row>
    <row r="19" spans="1:32" ht="27.45" hidden="1" customHeight="1" thickBot="1" x14ac:dyDescent="0.35">
      <c r="A19" s="175" t="str">
        <f>'Manufacturing-Testing-Other'!AA18</f>
        <v/>
      </c>
      <c r="B19" s="177" t="str">
        <f t="shared" si="16"/>
        <v/>
      </c>
      <c r="C19" s="586" t="str">
        <f>IF(A19="","",Dispensing!Z38)</f>
        <v/>
      </c>
      <c r="D19" s="477"/>
      <c r="E19" s="157"/>
      <c r="F19" s="190"/>
      <c r="G19" s="188" t="str">
        <f>IF(A19="","",Dispensing!Z3)</f>
        <v/>
      </c>
      <c r="H19" s="189" t="str">
        <f>IF(A19="","",Dispensing!Z2)</f>
        <v/>
      </c>
      <c r="I19" s="124" t="str">
        <f>IF(A19="","",Dispensing!Z4)</f>
        <v/>
      </c>
      <c r="J19" s="292" t="e">
        <f t="shared" si="17"/>
        <v>#VALUE!</v>
      </c>
      <c r="K19" s="165" t="s">
        <v>80</v>
      </c>
      <c r="L19" s="166" t="s">
        <v>247</v>
      </c>
      <c r="M19" s="167" t="s">
        <v>248</v>
      </c>
      <c r="N19" s="81">
        <v>392.3</v>
      </c>
      <c r="O19" s="76">
        <v>529.61</v>
      </c>
      <c r="P19" s="76">
        <v>714.97</v>
      </c>
      <c r="Q19" s="74">
        <f t="shared" ref="Q19" si="19">COUNTIF($C$13:$D$21,L19)</f>
        <v>0</v>
      </c>
      <c r="R19" s="198">
        <f t="shared" ref="R19" ca="1" si="20">SUMIF($C$13:$D$21,L19,$J$13:$J$21)</f>
        <v>0</v>
      </c>
      <c r="S19" s="88">
        <f t="shared" ref="S19" si="21">IF($X$1="",0,IF($X$1="Non-Industry",N19,IF($X$1="Industry",O19,P19)))</f>
        <v>0</v>
      </c>
      <c r="T19" s="198">
        <f t="shared" ref="T19" ca="1" si="22">SUMIF($C$13:$D$21,L19,$G$13:$G$21)</f>
        <v>0</v>
      </c>
      <c r="U19" s="197">
        <f t="shared" ref="U19" si="23">IF(Q19=0,0,(SUMIF($C$13:$D$21,L19,$H$13:$H$21))/Q19)</f>
        <v>0</v>
      </c>
      <c r="V19" s="90">
        <f t="shared" ref="V19" ca="1" si="24">R19*S19</f>
        <v>0</v>
      </c>
      <c r="W19" s="73"/>
      <c r="Z19" t="str">
        <f>IF(SUM('Protocol Cover Sheet'!$O$27:$O$35)&gt;35,8,"")</f>
        <v/>
      </c>
      <c r="AA19" s="174" t="str">
        <f>IF(Z19="","",VLOOKUP(Z19,'Protocol Cover Sheet'!$O$27:$Q$35,3,FALSE))</f>
        <v/>
      </c>
      <c r="AB19" s="174" t="str">
        <f>IF(Z19="","",VLOOKUP(Z19,'Protocol Cover Sheet'!$O$27:$Q$35,2,FALSE))</f>
        <v/>
      </c>
    </row>
    <row r="20" spans="1:32" ht="27.45" hidden="1" customHeight="1" thickBot="1" x14ac:dyDescent="0.35">
      <c r="A20" s="175" t="str">
        <f>'Manufacturing-Testing-Other'!AA19</f>
        <v/>
      </c>
      <c r="B20" s="178" t="str">
        <f t="shared" si="16"/>
        <v/>
      </c>
      <c r="C20" s="586" t="str">
        <f>IF(A20="","",Dispensing!AD38)</f>
        <v/>
      </c>
      <c r="D20" s="477"/>
      <c r="E20" s="157"/>
      <c r="F20" s="190"/>
      <c r="G20" s="188" t="str">
        <f>IF(A20="","",Dispensing!AD3)</f>
        <v/>
      </c>
      <c r="H20" s="189" t="str">
        <f>IF(A20="","",Dispensing!AD2)</f>
        <v/>
      </c>
      <c r="I20" s="124" t="str">
        <f>IF(A20="","",Dispensing!AD4)</f>
        <v/>
      </c>
      <c r="J20" s="292" t="e">
        <f t="shared" si="17"/>
        <v>#VALUE!</v>
      </c>
      <c r="K20" s="165"/>
      <c r="L20" s="166"/>
      <c r="M20" s="167"/>
      <c r="N20" s="72"/>
      <c r="O20" s="195"/>
      <c r="P20" s="195"/>
      <c r="Q20" s="74"/>
      <c r="R20" s="198"/>
      <c r="S20" s="88"/>
      <c r="T20" s="198"/>
      <c r="U20" s="198"/>
      <c r="V20" s="90"/>
      <c r="W20" s="73"/>
      <c r="Z20" t="str">
        <f>IF(SUM('Protocol Cover Sheet'!$O$27:$O$35)&gt;44,9,"")</f>
        <v/>
      </c>
      <c r="AA20" s="174" t="str">
        <f>IF(Z20="","",VLOOKUP(Z20,'Protocol Cover Sheet'!$O$27:$Q$35,3,FALSE))</f>
        <v/>
      </c>
      <c r="AB20" s="174" t="str">
        <f>IF(Z20="","",VLOOKUP(Z20,'Protocol Cover Sheet'!$O$27:$Q$35,2,FALSE))</f>
        <v/>
      </c>
    </row>
    <row r="21" spans="1:32" ht="27.45" hidden="1" customHeight="1" thickBot="1" x14ac:dyDescent="0.35">
      <c r="A21" s="175" t="str">
        <f>'Manufacturing-Testing-Other'!AA20</f>
        <v/>
      </c>
      <c r="B21" s="179" t="str">
        <f t="shared" si="16"/>
        <v/>
      </c>
      <c r="C21" s="612" t="str">
        <f>IF(A21="","",Dispensing!AH38)</f>
        <v/>
      </c>
      <c r="D21" s="613"/>
      <c r="E21" s="158"/>
      <c r="F21" s="191"/>
      <c r="G21" s="188" t="str">
        <f>IF(A21="","",Dispensing!AH3)</f>
        <v/>
      </c>
      <c r="H21" s="189" t="str">
        <f>IF(A21="","",Dispensing!AH2)</f>
        <v/>
      </c>
      <c r="I21" s="124" t="str">
        <f>IF(A21="","",Dispensing!AH4)</f>
        <v/>
      </c>
      <c r="J21" s="292" t="e">
        <f t="shared" si="17"/>
        <v>#VALUE!</v>
      </c>
      <c r="K21" s="165"/>
      <c r="L21" s="166"/>
      <c r="M21" s="167"/>
      <c r="N21" s="72"/>
      <c r="O21" s="195"/>
      <c r="P21" s="195"/>
      <c r="Q21" s="74"/>
      <c r="R21" s="198"/>
      <c r="S21" s="88"/>
      <c r="T21" s="198"/>
      <c r="U21" s="198"/>
      <c r="V21" s="90"/>
      <c r="W21" s="73"/>
    </row>
    <row r="22" spans="1:32" ht="27.45" customHeight="1" thickBot="1" x14ac:dyDescent="0.4">
      <c r="A22" s="563" t="s">
        <v>198</v>
      </c>
      <c r="B22" s="563"/>
      <c r="C22" s="563"/>
      <c r="D22" s="563"/>
      <c r="E22" s="563"/>
      <c r="F22" s="563"/>
      <c r="G22" s="563"/>
      <c r="H22" s="563"/>
      <c r="I22" s="564"/>
      <c r="J22" s="180"/>
      <c r="K22" s="168" t="s">
        <v>173</v>
      </c>
      <c r="L22" s="169" t="s">
        <v>85</v>
      </c>
      <c r="M22" s="170" t="s">
        <v>152</v>
      </c>
      <c r="N22" s="72">
        <v>150.58000000000001</v>
      </c>
      <c r="O22" s="70">
        <v>203.28</v>
      </c>
      <c r="P22" s="70">
        <v>274.43</v>
      </c>
      <c r="Q22" s="74">
        <f t="shared" ref="Q22:Q32" si="25">COUNTIF($A$24:$B$27,L22)</f>
        <v>0</v>
      </c>
      <c r="R22" s="75">
        <f t="shared" ref="R22:R32" ca="1" si="26">SUMIF($A$24:$B$27,L22,$D$24:$D$27)</f>
        <v>0</v>
      </c>
      <c r="S22" s="88">
        <f t="shared" si="2"/>
        <v>0</v>
      </c>
      <c r="T22" s="75"/>
      <c r="U22" s="75"/>
      <c r="V22" s="90">
        <f t="shared" ca="1" si="14"/>
        <v>0</v>
      </c>
      <c r="W22" s="73"/>
    </row>
    <row r="23" spans="1:32" ht="27.45" customHeight="1" thickBot="1" x14ac:dyDescent="0.35">
      <c r="A23" s="614" t="s">
        <v>182</v>
      </c>
      <c r="B23" s="615"/>
      <c r="C23" s="616"/>
      <c r="D23" s="67" t="s">
        <v>174</v>
      </c>
      <c r="E23" s="565" t="s">
        <v>183</v>
      </c>
      <c r="F23" s="566"/>
      <c r="G23" s="566"/>
      <c r="H23" s="566"/>
      <c r="I23" s="543"/>
      <c r="J23" s="180"/>
      <c r="K23" s="168" t="s">
        <v>173</v>
      </c>
      <c r="L23" s="169" t="s">
        <v>86</v>
      </c>
      <c r="M23" s="170" t="s">
        <v>153</v>
      </c>
      <c r="N23" s="72">
        <v>150.58000000000001</v>
      </c>
      <c r="O23" s="70">
        <v>203.28</v>
      </c>
      <c r="P23" s="70">
        <v>274.43</v>
      </c>
      <c r="Q23" s="74">
        <f t="shared" si="25"/>
        <v>0</v>
      </c>
      <c r="R23" s="75">
        <f t="shared" ca="1" si="26"/>
        <v>0</v>
      </c>
      <c r="S23" s="88">
        <f t="shared" si="2"/>
        <v>0</v>
      </c>
      <c r="T23" s="75"/>
      <c r="U23" s="75"/>
      <c r="V23" s="90">
        <f t="shared" ca="1" si="14"/>
        <v>0</v>
      </c>
      <c r="W23" s="73"/>
    </row>
    <row r="24" spans="1:32" ht="27.45" customHeight="1" thickBot="1" x14ac:dyDescent="0.35">
      <c r="A24" s="588"/>
      <c r="B24" s="589"/>
      <c r="C24" s="590"/>
      <c r="D24" s="122"/>
      <c r="E24" s="567"/>
      <c r="F24" s="568"/>
      <c r="G24" s="568"/>
      <c r="H24" s="568"/>
      <c r="I24" s="569"/>
      <c r="J24" s="180"/>
      <c r="K24" s="168" t="s">
        <v>173</v>
      </c>
      <c r="L24" s="169" t="s">
        <v>87</v>
      </c>
      <c r="M24" s="170" t="s">
        <v>154</v>
      </c>
      <c r="N24" s="72">
        <v>78.89</v>
      </c>
      <c r="O24" s="70">
        <v>106.5</v>
      </c>
      <c r="P24" s="70">
        <v>143.78</v>
      </c>
      <c r="Q24" s="74">
        <f t="shared" si="25"/>
        <v>0</v>
      </c>
      <c r="R24" s="75">
        <f t="shared" ca="1" si="26"/>
        <v>0</v>
      </c>
      <c r="S24" s="88">
        <f t="shared" si="2"/>
        <v>0</v>
      </c>
      <c r="T24" s="75"/>
      <c r="U24" s="75"/>
      <c r="V24" s="90">
        <f t="shared" ca="1" si="14"/>
        <v>0</v>
      </c>
      <c r="W24" s="73"/>
    </row>
    <row r="25" spans="1:32" ht="27.45" customHeight="1" thickBot="1" x14ac:dyDescent="0.35">
      <c r="A25" s="607"/>
      <c r="B25" s="606"/>
      <c r="C25" s="608"/>
      <c r="D25" s="123"/>
      <c r="E25" s="570"/>
      <c r="F25" s="571"/>
      <c r="G25" s="571"/>
      <c r="H25" s="571"/>
      <c r="I25" s="477"/>
      <c r="J25" s="180"/>
      <c r="K25" s="168" t="s">
        <v>173</v>
      </c>
      <c r="L25" s="169" t="s">
        <v>225</v>
      </c>
      <c r="M25" s="170" t="s">
        <v>155</v>
      </c>
      <c r="N25" s="72">
        <v>134.03</v>
      </c>
      <c r="O25" s="70">
        <v>180.94</v>
      </c>
      <c r="P25" s="70">
        <v>244.27</v>
      </c>
      <c r="Q25" s="74">
        <f t="shared" si="25"/>
        <v>0</v>
      </c>
      <c r="R25" s="75">
        <f t="shared" ca="1" si="26"/>
        <v>0</v>
      </c>
      <c r="S25" s="88">
        <f t="shared" si="2"/>
        <v>0</v>
      </c>
      <c r="T25" s="75"/>
      <c r="U25" s="75"/>
      <c r="V25" s="90">
        <f t="shared" ca="1" si="14"/>
        <v>0</v>
      </c>
      <c r="W25" s="73"/>
    </row>
    <row r="26" spans="1:32" ht="27.45" customHeight="1" thickBot="1" x14ac:dyDescent="0.35">
      <c r="A26" s="607"/>
      <c r="B26" s="606"/>
      <c r="C26" s="608"/>
      <c r="D26" s="123"/>
      <c r="E26" s="570"/>
      <c r="F26" s="571"/>
      <c r="G26" s="571"/>
      <c r="H26" s="571"/>
      <c r="I26" s="477"/>
      <c r="J26" s="180"/>
      <c r="K26" s="168" t="s">
        <v>173</v>
      </c>
      <c r="L26" s="169" t="s">
        <v>88</v>
      </c>
      <c r="M26" s="170" t="s">
        <v>156</v>
      </c>
      <c r="N26" s="72">
        <v>71.56</v>
      </c>
      <c r="O26" s="70">
        <v>96.61</v>
      </c>
      <c r="P26" s="70">
        <v>130.41999999999999</v>
      </c>
      <c r="Q26" s="74">
        <f t="shared" si="25"/>
        <v>0</v>
      </c>
      <c r="R26" s="75">
        <f t="shared" ca="1" si="26"/>
        <v>0</v>
      </c>
      <c r="S26" s="88">
        <f t="shared" si="2"/>
        <v>0</v>
      </c>
      <c r="T26" s="75"/>
      <c r="U26" s="75"/>
      <c r="V26" s="90">
        <f t="shared" ca="1" si="14"/>
        <v>0</v>
      </c>
      <c r="W26" s="73"/>
    </row>
    <row r="27" spans="1:32" ht="27.45" customHeight="1" thickBot="1" x14ac:dyDescent="0.35">
      <c r="A27" s="609"/>
      <c r="B27" s="610"/>
      <c r="C27" s="611"/>
      <c r="D27" s="125"/>
      <c r="E27" s="572"/>
      <c r="F27" s="573"/>
      <c r="G27" s="573"/>
      <c r="H27" s="573"/>
      <c r="I27" s="479"/>
      <c r="J27" s="180"/>
      <c r="K27" s="168" t="s">
        <v>173</v>
      </c>
      <c r="L27" s="169" t="s">
        <v>226</v>
      </c>
      <c r="M27" s="170" t="s">
        <v>228</v>
      </c>
      <c r="N27" s="72">
        <v>233.02</v>
      </c>
      <c r="O27" s="195">
        <v>314.58</v>
      </c>
      <c r="P27" s="196">
        <v>424.68</v>
      </c>
      <c r="Q27" s="74">
        <f t="shared" si="25"/>
        <v>0</v>
      </c>
      <c r="R27" s="75">
        <f t="shared" ca="1" si="26"/>
        <v>0</v>
      </c>
      <c r="S27" s="88">
        <f t="shared" si="2"/>
        <v>0</v>
      </c>
      <c r="T27" s="74"/>
      <c r="U27" s="197"/>
      <c r="V27" s="90">
        <f t="shared" ca="1" si="14"/>
        <v>0</v>
      </c>
      <c r="W27" s="73"/>
    </row>
    <row r="28" spans="1:32" ht="27.45" customHeight="1" thickBot="1" x14ac:dyDescent="0.4">
      <c r="A28" s="560" t="s">
        <v>230</v>
      </c>
      <c r="B28" s="561"/>
      <c r="C28" s="561"/>
      <c r="D28" s="561"/>
      <c r="E28" s="562"/>
      <c r="F28" s="562"/>
      <c r="G28" s="562"/>
      <c r="H28" s="562"/>
      <c r="I28" s="402"/>
      <c r="J28" s="180"/>
      <c r="K28" s="168" t="s">
        <v>173</v>
      </c>
      <c r="L28" s="169" t="s">
        <v>89</v>
      </c>
      <c r="M28" s="170" t="s">
        <v>157</v>
      </c>
      <c r="N28" s="72">
        <v>174.66</v>
      </c>
      <c r="O28" s="70">
        <v>235.79</v>
      </c>
      <c r="P28" s="70">
        <v>318.32</v>
      </c>
      <c r="Q28" s="74">
        <f t="shared" si="25"/>
        <v>0</v>
      </c>
      <c r="R28" s="75">
        <f t="shared" ca="1" si="26"/>
        <v>0</v>
      </c>
      <c r="S28" s="88">
        <f t="shared" si="2"/>
        <v>0</v>
      </c>
      <c r="T28" s="75"/>
      <c r="U28" s="75"/>
      <c r="V28" s="90">
        <f ca="1">Q28*R28*S28</f>
        <v>0</v>
      </c>
      <c r="W28" s="73"/>
    </row>
    <row r="29" spans="1:32" ht="27.45" customHeight="1" thickBot="1" x14ac:dyDescent="0.35">
      <c r="A29" s="617" t="s">
        <v>180</v>
      </c>
      <c r="B29" s="618"/>
      <c r="C29" s="616"/>
      <c r="D29" s="596"/>
      <c r="E29" s="543"/>
      <c r="F29" s="543"/>
      <c r="G29" s="543"/>
      <c r="H29" s="543"/>
      <c r="I29" s="597"/>
      <c r="J29" s="180"/>
      <c r="K29" s="168" t="s">
        <v>173</v>
      </c>
      <c r="L29" s="169" t="s">
        <v>90</v>
      </c>
      <c r="M29" s="170" t="s">
        <v>158</v>
      </c>
      <c r="N29" s="72">
        <v>174.26</v>
      </c>
      <c r="O29" s="70">
        <v>235.25</v>
      </c>
      <c r="P29" s="70">
        <v>317.58999999999997</v>
      </c>
      <c r="Q29" s="74">
        <f t="shared" si="25"/>
        <v>0</v>
      </c>
      <c r="R29" s="75">
        <f t="shared" ca="1" si="26"/>
        <v>0</v>
      </c>
      <c r="S29" s="88">
        <f t="shared" si="2"/>
        <v>0</v>
      </c>
      <c r="T29" s="74"/>
      <c r="U29" s="75"/>
      <c r="V29" s="90">
        <f t="shared" ref="V29:V37" ca="1" si="27">Q29*R29*S29</f>
        <v>0</v>
      </c>
      <c r="W29" s="73"/>
    </row>
    <row r="30" spans="1:32" ht="27.45" customHeight="1" thickBot="1" x14ac:dyDescent="0.35">
      <c r="A30" s="586"/>
      <c r="B30" s="605"/>
      <c r="C30" s="587"/>
      <c r="D30" s="598"/>
      <c r="E30" s="434"/>
      <c r="F30" s="434"/>
      <c r="G30" s="434"/>
      <c r="H30" s="434"/>
      <c r="I30" s="599"/>
      <c r="J30" s="180"/>
      <c r="K30" s="168" t="s">
        <v>173</v>
      </c>
      <c r="L30" s="169" t="s">
        <v>227</v>
      </c>
      <c r="M30" s="170" t="s">
        <v>229</v>
      </c>
      <c r="N30" s="72">
        <v>1614.89</v>
      </c>
      <c r="O30" s="195">
        <v>2180.1</v>
      </c>
      <c r="P30" s="195">
        <v>2943.14</v>
      </c>
      <c r="Q30" s="74">
        <f t="shared" si="25"/>
        <v>0</v>
      </c>
      <c r="R30" s="198">
        <f t="shared" ca="1" si="26"/>
        <v>0</v>
      </c>
      <c r="S30" s="88">
        <f t="shared" si="2"/>
        <v>0</v>
      </c>
      <c r="T30" s="198"/>
      <c r="U30" s="197"/>
      <c r="V30" s="90">
        <f t="shared" ca="1" si="27"/>
        <v>0</v>
      </c>
      <c r="W30" s="73"/>
      <c r="X30" s="12"/>
    </row>
    <row r="31" spans="1:32" ht="27.45" customHeight="1" thickBot="1" x14ac:dyDescent="0.35">
      <c r="A31" s="586"/>
      <c r="B31" s="605"/>
      <c r="C31" s="587"/>
      <c r="D31" s="598"/>
      <c r="E31" s="447"/>
      <c r="F31" s="447"/>
      <c r="G31" s="447"/>
      <c r="H31" s="447"/>
      <c r="I31" s="599"/>
      <c r="J31" s="180"/>
      <c r="K31" s="168" t="s">
        <v>173</v>
      </c>
      <c r="L31" s="169" t="s">
        <v>324</v>
      </c>
      <c r="M31" s="170" t="s">
        <v>326</v>
      </c>
      <c r="N31" s="72">
        <v>30</v>
      </c>
      <c r="O31" s="195">
        <v>40.5</v>
      </c>
      <c r="P31" s="196">
        <v>54.68</v>
      </c>
      <c r="Q31" s="74">
        <f t="shared" si="25"/>
        <v>0</v>
      </c>
      <c r="R31" s="197">
        <f t="shared" ca="1" si="26"/>
        <v>0</v>
      </c>
      <c r="S31" s="88">
        <f t="shared" si="2"/>
        <v>0</v>
      </c>
      <c r="T31" s="74"/>
      <c r="U31" s="197"/>
      <c r="V31" s="90">
        <f t="shared" ca="1" si="27"/>
        <v>0</v>
      </c>
      <c r="W31" s="73"/>
    </row>
    <row r="32" spans="1:32" ht="27.45" customHeight="1" thickBot="1" x14ac:dyDescent="0.35">
      <c r="A32" s="603"/>
      <c r="B32" s="604"/>
      <c r="C32" s="595"/>
      <c r="D32" s="600"/>
      <c r="E32" s="601"/>
      <c r="F32" s="601"/>
      <c r="G32" s="601"/>
      <c r="H32" s="601"/>
      <c r="I32" s="602"/>
      <c r="J32" s="180"/>
      <c r="K32" s="168" t="s">
        <v>173</v>
      </c>
      <c r="L32" s="169" t="s">
        <v>325</v>
      </c>
      <c r="M32" s="170" t="s">
        <v>327</v>
      </c>
      <c r="N32" s="81">
        <v>500</v>
      </c>
      <c r="O32" s="76">
        <v>675</v>
      </c>
      <c r="P32" s="76">
        <v>911.25</v>
      </c>
      <c r="Q32" s="77">
        <f t="shared" si="25"/>
        <v>0</v>
      </c>
      <c r="R32" s="78">
        <f t="shared" ca="1" si="26"/>
        <v>0</v>
      </c>
      <c r="S32" s="89">
        <f t="shared" si="2"/>
        <v>0</v>
      </c>
      <c r="T32" s="78"/>
      <c r="U32" s="78"/>
      <c r="V32" s="91">
        <f t="shared" ca="1" si="27"/>
        <v>0</v>
      </c>
      <c r="W32" s="73"/>
    </row>
    <row r="33" spans="1:23" ht="27.45" hidden="1" customHeight="1" thickBot="1" x14ac:dyDescent="0.35">
      <c r="A33" s="3"/>
      <c r="B33" s="3"/>
      <c r="C33" s="3"/>
      <c r="D33" s="3"/>
      <c r="E33" s="3"/>
      <c r="F33" s="186"/>
      <c r="G33" s="3"/>
      <c r="H33" s="3"/>
      <c r="I33" s="3"/>
      <c r="K33" s="171" t="s">
        <v>84</v>
      </c>
      <c r="L33" s="172" t="s">
        <v>231</v>
      </c>
      <c r="M33" s="173" t="s">
        <v>321</v>
      </c>
      <c r="N33" s="72">
        <v>24.42</v>
      </c>
      <c r="O33" s="70">
        <v>32.97</v>
      </c>
      <c r="P33" s="70">
        <v>44.51</v>
      </c>
      <c r="Q33" s="74">
        <f>COUNTIF($A$30:$B$32,L33)</f>
        <v>0</v>
      </c>
      <c r="R33" s="75">
        <f>ROUND(IF(Q33&gt;0,('Protocol Cover Sheet'!$O$16/365)*12,0),0)</f>
        <v>0</v>
      </c>
      <c r="S33" s="88">
        <f t="shared" si="2"/>
        <v>0</v>
      </c>
      <c r="T33" s="75"/>
      <c r="U33" s="75"/>
      <c r="V33" s="90">
        <f t="shared" si="27"/>
        <v>0</v>
      </c>
      <c r="W33" s="73" t="s">
        <v>211</v>
      </c>
    </row>
    <row r="34" spans="1:23" ht="27.45" customHeight="1" x14ac:dyDescent="0.3">
      <c r="F34" s="12"/>
      <c r="K34" s="199" t="s">
        <v>84</v>
      </c>
      <c r="L34" s="200" t="s">
        <v>91</v>
      </c>
      <c r="M34" s="201" t="s">
        <v>159</v>
      </c>
      <c r="N34" s="81">
        <v>56.82</v>
      </c>
      <c r="O34" s="76">
        <v>76.709999999999994</v>
      </c>
      <c r="P34" s="76">
        <v>103.56</v>
      </c>
      <c r="Q34" s="77">
        <f>COUNTIF($A$30:$B$32,L34)</f>
        <v>0</v>
      </c>
      <c r="R34" s="78">
        <f>ROUND(IF(Q34&gt;0,'Protocol Cover Sheet'!$O$16/7,0),0)</f>
        <v>0</v>
      </c>
      <c r="S34" s="89">
        <f t="shared" si="2"/>
        <v>0</v>
      </c>
      <c r="T34" s="78"/>
      <c r="U34" s="78"/>
      <c r="V34" s="91">
        <f t="shared" si="27"/>
        <v>0</v>
      </c>
      <c r="W34" s="73"/>
    </row>
    <row r="35" spans="1:23" ht="27.45" customHeight="1" x14ac:dyDescent="0.3">
      <c r="F35" s="12"/>
      <c r="K35" s="202"/>
      <c r="L35" s="203"/>
      <c r="M35" s="203"/>
      <c r="N35" s="195"/>
      <c r="O35" s="70"/>
      <c r="P35" s="208"/>
      <c r="Q35" s="198"/>
      <c r="R35" s="207"/>
      <c r="S35" s="88"/>
      <c r="T35" s="75"/>
      <c r="U35" s="75"/>
      <c r="V35" s="90">
        <f t="shared" si="27"/>
        <v>0</v>
      </c>
    </row>
    <row r="36" spans="1:23" ht="27.45" customHeight="1" x14ac:dyDescent="0.3">
      <c r="F36" s="12"/>
      <c r="K36" s="202"/>
      <c r="L36" s="203"/>
      <c r="M36" s="203"/>
      <c r="N36" s="195"/>
      <c r="O36" s="70"/>
      <c r="P36" s="195"/>
      <c r="Q36" s="198"/>
      <c r="R36" s="197"/>
      <c r="S36" s="88"/>
      <c r="T36" s="75"/>
      <c r="U36" s="75"/>
      <c r="V36" s="90">
        <f t="shared" si="27"/>
        <v>0</v>
      </c>
    </row>
    <row r="37" spans="1:23" ht="27.45" customHeight="1" x14ac:dyDescent="0.3">
      <c r="F37" s="12"/>
      <c r="K37" s="202"/>
      <c r="L37" s="203"/>
      <c r="M37" s="203"/>
      <c r="N37" s="195"/>
      <c r="O37" s="195"/>
      <c r="P37" s="195"/>
      <c r="Q37" s="198"/>
      <c r="R37" s="198"/>
      <c r="S37" s="88"/>
      <c r="T37" s="198"/>
      <c r="U37" s="197"/>
      <c r="V37" s="91">
        <f t="shared" si="27"/>
        <v>0</v>
      </c>
    </row>
    <row r="38" spans="1:23" ht="27.45" customHeight="1" x14ac:dyDescent="0.3">
      <c r="F38" s="12"/>
      <c r="K38" s="202"/>
      <c r="L38" s="203"/>
      <c r="M38" s="203"/>
      <c r="N38" s="195"/>
      <c r="O38" s="70"/>
      <c r="P38" s="195"/>
      <c r="Q38" s="198"/>
      <c r="R38" s="197"/>
      <c r="S38" s="88"/>
      <c r="T38" s="75"/>
      <c r="U38" s="75"/>
      <c r="V38" s="90">
        <f>Q38*R38*S38</f>
        <v>0</v>
      </c>
    </row>
    <row r="39" spans="1:23" ht="27.45" customHeight="1" x14ac:dyDescent="0.3">
      <c r="F39" s="12"/>
      <c r="K39" s="202"/>
      <c r="L39" s="203"/>
      <c r="M39" s="203"/>
      <c r="N39" s="76"/>
      <c r="O39" s="76"/>
      <c r="P39" s="76"/>
      <c r="Q39" s="78"/>
      <c r="R39" s="78"/>
      <c r="S39" s="88"/>
      <c r="T39" s="78"/>
      <c r="U39" s="78"/>
      <c r="V39" s="91">
        <f>Q39*R39*S39</f>
        <v>0</v>
      </c>
    </row>
    <row r="40" spans="1:23" ht="27.45" customHeight="1" x14ac:dyDescent="0.3">
      <c r="K40" s="204"/>
      <c r="L40" s="205" t="s">
        <v>224</v>
      </c>
      <c r="M40" s="206"/>
      <c r="N40" s="70">
        <v>24.42</v>
      </c>
      <c r="O40" s="70">
        <v>32.97</v>
      </c>
      <c r="P40" s="70">
        <v>44.51</v>
      </c>
      <c r="Q40" s="75"/>
      <c r="R40" s="75">
        <f>SUMIF(I13:I21,"Yes",J13:J21)</f>
        <v>0</v>
      </c>
      <c r="S40" s="88">
        <f t="shared" si="2"/>
        <v>0</v>
      </c>
      <c r="T40" s="75"/>
      <c r="U40" s="75"/>
      <c r="V40" s="91">
        <f>IF(R40&gt;0,R40*S40,0)</f>
        <v>0</v>
      </c>
    </row>
    <row r="41" spans="1:23" ht="27.45" customHeight="1" x14ac:dyDescent="0.3">
      <c r="N41" s="70"/>
      <c r="O41" s="70"/>
      <c r="P41" s="70"/>
      <c r="Q41" s="75"/>
      <c r="R41" s="75"/>
      <c r="S41" s="75"/>
      <c r="T41" s="75"/>
      <c r="U41" s="75"/>
      <c r="V41" s="80"/>
    </row>
    <row r="42" spans="1:23" ht="27.45" customHeight="1" x14ac:dyDescent="0.3">
      <c r="N42" s="70"/>
      <c r="O42" s="70"/>
      <c r="P42" s="70"/>
      <c r="Q42" s="75"/>
      <c r="R42" s="75"/>
      <c r="S42" s="75"/>
      <c r="T42" s="75"/>
      <c r="U42" s="75"/>
      <c r="V42" s="80"/>
    </row>
    <row r="43" spans="1:23" ht="27.45" customHeight="1" x14ac:dyDescent="0.3">
      <c r="N43" s="70"/>
      <c r="O43" s="70"/>
      <c r="P43" s="70"/>
      <c r="Q43" s="75"/>
      <c r="R43" s="75"/>
      <c r="S43" s="75"/>
      <c r="T43" s="75"/>
      <c r="U43" s="75"/>
      <c r="V43" s="80"/>
    </row>
    <row r="44" spans="1:23" ht="27.45" customHeight="1" x14ac:dyDescent="0.3">
      <c r="N44" s="70"/>
      <c r="O44" s="70"/>
      <c r="P44" s="70"/>
      <c r="Q44" s="75"/>
      <c r="R44" s="75"/>
      <c r="S44" s="75"/>
      <c r="T44" s="75"/>
      <c r="U44" s="75"/>
      <c r="V44" s="80"/>
    </row>
    <row r="45" spans="1:23" ht="27.45" customHeight="1" x14ac:dyDescent="0.3">
      <c r="N45" s="70"/>
      <c r="O45" s="70"/>
      <c r="P45" s="70"/>
      <c r="Q45" s="75"/>
      <c r="R45" s="75"/>
      <c r="S45" s="75"/>
      <c r="T45" s="75"/>
      <c r="U45" s="75"/>
      <c r="V45" s="80"/>
    </row>
    <row r="46" spans="1:23" ht="27.45" customHeight="1" x14ac:dyDescent="0.3">
      <c r="N46" s="70"/>
      <c r="O46" s="70"/>
      <c r="P46" s="70"/>
      <c r="Q46" s="75"/>
      <c r="R46" s="75"/>
      <c r="S46" s="75"/>
      <c r="T46" s="75"/>
      <c r="U46" s="75"/>
      <c r="V46" s="80"/>
    </row>
    <row r="47" spans="1:23" ht="27.45" customHeight="1" x14ac:dyDescent="0.3">
      <c r="N47" s="70"/>
      <c r="O47" s="70"/>
      <c r="P47" s="70"/>
      <c r="Q47" s="75"/>
      <c r="R47" s="75"/>
      <c r="S47" s="75"/>
      <c r="T47" s="75"/>
      <c r="U47" s="75"/>
      <c r="V47" s="80"/>
    </row>
    <row r="48" spans="1:23" ht="27.45" customHeight="1" x14ac:dyDescent="0.3">
      <c r="N48" s="70"/>
      <c r="O48" s="70"/>
      <c r="P48" s="70"/>
      <c r="Q48" s="75"/>
      <c r="R48" s="75"/>
      <c r="S48" s="75"/>
      <c r="T48" s="75"/>
      <c r="U48" s="75"/>
      <c r="V48" s="80"/>
    </row>
    <row r="49" spans="14:22" ht="27.45" customHeight="1" x14ac:dyDescent="0.3">
      <c r="N49" s="70"/>
      <c r="O49" s="70"/>
      <c r="P49" s="70"/>
      <c r="Q49" s="75"/>
      <c r="R49" s="75"/>
      <c r="S49" s="75"/>
      <c r="T49" s="75"/>
      <c r="U49" s="75"/>
      <c r="V49" s="80"/>
    </row>
    <row r="50" spans="14:22" ht="27.45" customHeight="1" x14ac:dyDescent="0.3">
      <c r="N50" s="70"/>
      <c r="O50" s="70"/>
      <c r="P50" s="70"/>
      <c r="Q50" s="75"/>
      <c r="R50" s="75"/>
      <c r="S50" s="75"/>
      <c r="T50" s="75"/>
      <c r="U50" s="75"/>
      <c r="V50" s="80"/>
    </row>
    <row r="51" spans="14:22" ht="27.45" customHeight="1" x14ac:dyDescent="0.3">
      <c r="N51" s="70"/>
      <c r="O51" s="70"/>
      <c r="P51" s="70"/>
      <c r="Q51" s="75"/>
      <c r="R51" s="75"/>
      <c r="S51" s="75"/>
      <c r="T51" s="75"/>
      <c r="U51" s="75"/>
      <c r="V51" s="80"/>
    </row>
    <row r="52" spans="14:22" ht="27.45" customHeight="1" x14ac:dyDescent="0.3">
      <c r="N52" s="70"/>
      <c r="O52" s="70"/>
      <c r="P52" s="70"/>
      <c r="Q52" s="75"/>
      <c r="R52" s="75"/>
      <c r="S52" s="75"/>
      <c r="T52" s="75"/>
      <c r="U52" s="75"/>
      <c r="V52" s="80"/>
    </row>
    <row r="53" spans="14:22" ht="27.45" customHeight="1" x14ac:dyDescent="0.3">
      <c r="N53" s="70"/>
      <c r="O53" s="70"/>
      <c r="P53" s="70"/>
      <c r="Q53" s="75"/>
      <c r="R53" s="75"/>
      <c r="S53" s="75"/>
      <c r="T53" s="75"/>
      <c r="U53" s="75"/>
      <c r="V53" s="80"/>
    </row>
    <row r="54" spans="14:22" ht="27.45" customHeight="1" x14ac:dyDescent="0.3">
      <c r="N54" s="70"/>
      <c r="O54" s="70"/>
      <c r="P54" s="70"/>
      <c r="Q54" s="75"/>
      <c r="R54" s="75"/>
      <c r="S54" s="75"/>
      <c r="T54" s="75"/>
      <c r="U54" s="75"/>
      <c r="V54" s="80"/>
    </row>
    <row r="55" spans="14:22" ht="27.45" customHeight="1" x14ac:dyDescent="0.3">
      <c r="N55" s="70"/>
      <c r="O55" s="70"/>
      <c r="P55" s="70"/>
      <c r="Q55" s="75"/>
      <c r="R55" s="75"/>
      <c r="S55" s="75"/>
      <c r="T55" s="75"/>
      <c r="U55" s="75"/>
      <c r="V55" s="80"/>
    </row>
    <row r="56" spans="14:22" ht="27.45" customHeight="1" x14ac:dyDescent="0.3">
      <c r="N56" s="70"/>
      <c r="O56" s="70"/>
      <c r="P56" s="70"/>
      <c r="Q56" s="75"/>
      <c r="R56" s="75"/>
      <c r="S56" s="75"/>
      <c r="T56" s="75"/>
      <c r="U56" s="75"/>
      <c r="V56" s="80"/>
    </row>
    <row r="57" spans="14:22" ht="27.45" customHeight="1" x14ac:dyDescent="0.3">
      <c r="N57" s="70"/>
      <c r="O57" s="70"/>
      <c r="P57" s="70"/>
      <c r="Q57" s="75"/>
      <c r="R57" s="75"/>
      <c r="S57" s="75"/>
      <c r="T57" s="75"/>
      <c r="U57" s="75"/>
      <c r="V57" s="80"/>
    </row>
    <row r="58" spans="14:22" ht="27.45" customHeight="1" x14ac:dyDescent="0.3"/>
    <row r="59" spans="14:22" ht="27.45" customHeight="1" x14ac:dyDescent="0.3"/>
    <row r="60" spans="14:22" ht="27.45" customHeight="1" x14ac:dyDescent="0.3"/>
    <row r="61" spans="14:22" ht="27.45" customHeight="1" x14ac:dyDescent="0.3"/>
    <row r="62" spans="14:22" ht="27.45" customHeight="1" x14ac:dyDescent="0.3"/>
    <row r="63" spans="14:22" ht="27.45" customHeight="1" x14ac:dyDescent="0.3"/>
    <row r="64" spans="14:22" ht="27.45" customHeight="1" x14ac:dyDescent="0.3"/>
    <row r="65" ht="27.45" customHeight="1" x14ac:dyDescent="0.3"/>
    <row r="66" ht="27.45" customHeight="1" x14ac:dyDescent="0.3"/>
    <row r="67" ht="27.45" customHeight="1" x14ac:dyDescent="0.3"/>
    <row r="68" ht="27.45" customHeight="1" x14ac:dyDescent="0.3"/>
    <row r="69" ht="27.45" customHeight="1" x14ac:dyDescent="0.3"/>
    <row r="70" ht="27.45" customHeight="1" x14ac:dyDescent="0.3"/>
    <row r="71" ht="27.45" customHeight="1" x14ac:dyDescent="0.3"/>
    <row r="72" ht="27.45" customHeight="1" x14ac:dyDescent="0.3"/>
    <row r="73" ht="27.45" customHeight="1" x14ac:dyDescent="0.3"/>
    <row r="74" ht="27.45" customHeight="1" x14ac:dyDescent="0.3"/>
    <row r="75" ht="27.45" customHeight="1" x14ac:dyDescent="0.3"/>
    <row r="76" ht="27.45" customHeight="1" x14ac:dyDescent="0.3"/>
    <row r="77" ht="27.45" customHeight="1" x14ac:dyDescent="0.3"/>
    <row r="78" ht="27.45" customHeight="1" x14ac:dyDescent="0.3"/>
    <row r="79" ht="27.45" customHeight="1" x14ac:dyDescent="0.3"/>
    <row r="80" ht="27.45" customHeight="1" x14ac:dyDescent="0.3"/>
    <row r="81" ht="27.45" customHeight="1" x14ac:dyDescent="0.3"/>
    <row r="82" ht="27.45" customHeight="1" x14ac:dyDescent="0.3"/>
    <row r="83" ht="27.45" customHeight="1" x14ac:dyDescent="0.3"/>
  </sheetData>
  <sheetProtection algorithmName="SHA-512" hashValue="x/1GuoYpEEzLzTKa1/PwQkVMOE5Mtbrs5rN1TCNXFrzS6n7CK4E0KA7utFVudAXxG9cT7BxCxflEQYurGoItgw==" saltValue="9tVxeC7ugrAWoInGpKgU4A==" spinCount="100000" sheet="1" selectLockedCells="1"/>
  <mergeCells count="37">
    <mergeCell ref="A27:C27"/>
    <mergeCell ref="C20:D20"/>
    <mergeCell ref="C21:D21"/>
    <mergeCell ref="A23:C23"/>
    <mergeCell ref="A29:C29"/>
    <mergeCell ref="A4:B4"/>
    <mergeCell ref="D4:I10"/>
    <mergeCell ref="D29:I32"/>
    <mergeCell ref="A32:C32"/>
    <mergeCell ref="A31:C31"/>
    <mergeCell ref="A30:C30"/>
    <mergeCell ref="A7:B7"/>
    <mergeCell ref="A8:B8"/>
    <mergeCell ref="A5:B5"/>
    <mergeCell ref="A6:B6"/>
    <mergeCell ref="C16:D16"/>
    <mergeCell ref="C17:D17"/>
    <mergeCell ref="C18:D18"/>
    <mergeCell ref="C19:D19"/>
    <mergeCell ref="A25:C25"/>
    <mergeCell ref="A26:C26"/>
    <mergeCell ref="A1:I1"/>
    <mergeCell ref="A28:I28"/>
    <mergeCell ref="A22:I22"/>
    <mergeCell ref="E23:I23"/>
    <mergeCell ref="E24:I27"/>
    <mergeCell ref="A11:I11"/>
    <mergeCell ref="D3:I3"/>
    <mergeCell ref="A3:B3"/>
    <mergeCell ref="A2:H2"/>
    <mergeCell ref="C12:D12"/>
    <mergeCell ref="C13:D13"/>
    <mergeCell ref="C14:D14"/>
    <mergeCell ref="C15:D15"/>
    <mergeCell ref="A9:B9"/>
    <mergeCell ref="A10:B10"/>
    <mergeCell ref="A24:C24"/>
  </mergeCells>
  <dataValidations count="7">
    <dataValidation type="whole" allowBlank="1" showInputMessage="1" showErrorMessage="1" error="Please enter whole numbers" sqref="C4:C10" xr:uid="{00000000-0002-0000-0400-000001000000}">
      <formula1>1</formula1>
      <formula2>99999</formula2>
    </dataValidation>
    <dataValidation type="list" allowBlank="1" showInputMessage="1" showErrorMessage="1" sqref="B13:B21" xr:uid="{00000000-0002-0000-0400-000002000000}">
      <formula1>$W$1:$W$2</formula1>
    </dataValidation>
    <dataValidation type="list" allowBlank="1" showInputMessage="1" showErrorMessage="1" sqref="A24:B27" xr:uid="{00000000-0002-0000-0400-000003000000}">
      <formula1>$L$22:$L$32</formula1>
    </dataValidation>
    <dataValidation type="whole" operator="greaterThan" allowBlank="1" showInputMessage="1" showErrorMessage="1" error="Enter a number greater than 0" sqref="D24:D27" xr:uid="{00000000-0002-0000-0400-000004000000}">
      <formula1>0</formula1>
    </dataValidation>
    <dataValidation type="whole" allowBlank="1" showInputMessage="1" showErrorMessage="1" sqref="F13:F21" xr:uid="{00000000-0002-0000-0400-000008000000}">
      <formula1>0</formula1>
      <formula2>10000</formula2>
    </dataValidation>
    <dataValidation type="list" allowBlank="1" showInputMessage="1" showErrorMessage="1" sqref="A4:B10" xr:uid="{1EA362D2-78E4-441A-982A-8DAA8772EC88}">
      <formula1>$L$2:$L$9</formula1>
    </dataValidation>
    <dataValidation type="list" allowBlank="1" showInputMessage="1" showErrorMessage="1" sqref="A30:C32" xr:uid="{40F1AA46-F51B-456B-9469-F255E45D484B}">
      <formula1>$L$34</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pageSetUpPr fitToPage="1"/>
  </sheetPr>
  <dimension ref="A1:J30"/>
  <sheetViews>
    <sheetView workbookViewId="0">
      <selection activeCell="C15" sqref="C15"/>
    </sheetView>
  </sheetViews>
  <sheetFormatPr defaultColWidth="8.77734375" defaultRowHeight="14.4" x14ac:dyDescent="0.3"/>
  <cols>
    <col min="1" max="1" width="20.109375" customWidth="1"/>
    <col min="2" max="2" width="3.44140625" customWidth="1"/>
    <col min="3" max="3" width="6.109375" customWidth="1"/>
    <col min="4" max="4" width="11.33203125" style="26" customWidth="1"/>
    <col min="5" max="5" width="12.44140625" customWidth="1"/>
    <col min="6" max="6" width="11.6640625" customWidth="1"/>
    <col min="7" max="7" width="10.44140625" style="26" customWidth="1"/>
    <col min="8" max="8" width="13.44140625" style="26" customWidth="1"/>
  </cols>
  <sheetData>
    <row r="1" spans="1:10" ht="28.8" x14ac:dyDescent="0.3">
      <c r="A1" s="25" t="s">
        <v>92</v>
      </c>
      <c r="D1" s="26" t="s">
        <v>93</v>
      </c>
      <c r="E1" t="s">
        <v>94</v>
      </c>
      <c r="F1" s="27" t="s">
        <v>95</v>
      </c>
      <c r="G1" s="26" t="s">
        <v>96</v>
      </c>
      <c r="H1" s="26" t="s">
        <v>97</v>
      </c>
    </row>
    <row r="3" spans="1:10" x14ac:dyDescent="0.3">
      <c r="A3" t="s">
        <v>98</v>
      </c>
      <c r="C3">
        <v>109</v>
      </c>
      <c r="D3" s="26">
        <v>94.6</v>
      </c>
      <c r="E3" s="28">
        <f t="shared" ref="E3:E9" si="0">+C3*D3</f>
        <v>10311.4</v>
      </c>
      <c r="F3" s="28">
        <f>+E3-(C3*6)</f>
        <v>9657.4</v>
      </c>
      <c r="G3" s="26">
        <f>+D3*1.05</f>
        <v>99.33</v>
      </c>
      <c r="H3" s="26">
        <f t="shared" ref="H3:H9" si="1">+C3*G3</f>
        <v>10826.97</v>
      </c>
      <c r="J3" s="28"/>
    </row>
    <row r="4" spans="1:10" x14ac:dyDescent="0.3">
      <c r="A4" t="s">
        <v>99</v>
      </c>
      <c r="C4">
        <v>66</v>
      </c>
      <c r="D4" s="26">
        <v>94.6</v>
      </c>
      <c r="E4" s="28">
        <f t="shared" si="0"/>
        <v>6243.5999999999995</v>
      </c>
      <c r="F4" s="28">
        <f>+E4-(C4*6)</f>
        <v>5847.5999999999995</v>
      </c>
      <c r="G4" s="26">
        <f>+D4*1.05</f>
        <v>99.33</v>
      </c>
      <c r="H4" s="26">
        <f t="shared" si="1"/>
        <v>6555.78</v>
      </c>
    </row>
    <row r="5" spans="1:10" x14ac:dyDescent="0.3">
      <c r="A5" t="s">
        <v>100</v>
      </c>
      <c r="C5">
        <v>41</v>
      </c>
      <c r="D5" s="26">
        <v>49.56</v>
      </c>
      <c r="E5" s="28">
        <f t="shared" si="0"/>
        <v>2031.96</v>
      </c>
      <c r="F5" s="28">
        <f>+E5</f>
        <v>2031.96</v>
      </c>
      <c r="G5" s="26">
        <f>+D5*1.05</f>
        <v>52.038000000000004</v>
      </c>
      <c r="H5" s="26">
        <f t="shared" si="1"/>
        <v>2133.558</v>
      </c>
    </row>
    <row r="6" spans="1:10" x14ac:dyDescent="0.3">
      <c r="A6" t="s">
        <v>101</v>
      </c>
      <c r="C6">
        <v>4</v>
      </c>
      <c r="D6" s="26">
        <v>84.21</v>
      </c>
      <c r="E6" s="28">
        <f t="shared" si="0"/>
        <v>336.84</v>
      </c>
      <c r="F6" s="28">
        <f>+E6-(C6*6)</f>
        <v>312.83999999999997</v>
      </c>
      <c r="G6" s="26">
        <f>+D6*1.05</f>
        <v>88.420500000000004</v>
      </c>
      <c r="H6" s="26">
        <f t="shared" si="1"/>
        <v>353.68200000000002</v>
      </c>
    </row>
    <row r="7" spans="1:10" x14ac:dyDescent="0.3">
      <c r="A7" t="s">
        <v>102</v>
      </c>
      <c r="C7">
        <v>42</v>
      </c>
      <c r="D7" s="26">
        <v>44.95</v>
      </c>
      <c r="E7" s="28">
        <f t="shared" si="0"/>
        <v>1887.9</v>
      </c>
      <c r="F7" s="28">
        <f>+E7-(C7*3)</f>
        <v>1761.9</v>
      </c>
      <c r="G7" s="26">
        <f>+D7*1.05</f>
        <v>47.197500000000005</v>
      </c>
      <c r="H7" s="26">
        <f t="shared" si="1"/>
        <v>1982.2950000000003</v>
      </c>
    </row>
    <row r="8" spans="1:10" x14ac:dyDescent="0.3">
      <c r="A8" t="s">
        <v>103</v>
      </c>
      <c r="C8">
        <v>47</v>
      </c>
      <c r="D8" s="26">
        <v>145.44</v>
      </c>
      <c r="E8" s="28">
        <f t="shared" si="0"/>
        <v>6835.68</v>
      </c>
      <c r="F8" s="28">
        <f>+E8-(C8*80)</f>
        <v>3075.6800000000003</v>
      </c>
      <c r="G8" s="29">
        <v>161.03</v>
      </c>
      <c r="H8" s="26">
        <f t="shared" si="1"/>
        <v>7568.41</v>
      </c>
    </row>
    <row r="9" spans="1:10" x14ac:dyDescent="0.3">
      <c r="A9" t="s">
        <v>104</v>
      </c>
      <c r="C9">
        <v>373</v>
      </c>
      <c r="D9" s="26">
        <v>109.48</v>
      </c>
      <c r="E9" s="28">
        <f t="shared" si="0"/>
        <v>40836.04</v>
      </c>
      <c r="F9" s="28">
        <f>+E9-(C9*14)</f>
        <v>35614.04</v>
      </c>
      <c r="G9" s="26">
        <f>+D9*1.05</f>
        <v>114.95400000000001</v>
      </c>
      <c r="H9" s="26">
        <f t="shared" si="1"/>
        <v>42877.842000000004</v>
      </c>
    </row>
    <row r="10" spans="1:10" x14ac:dyDescent="0.3">
      <c r="E10" s="28"/>
      <c r="F10" s="28"/>
    </row>
    <row r="12" spans="1:10" x14ac:dyDescent="0.3">
      <c r="E12" s="28">
        <f>SUM(E3:E9)</f>
        <v>68483.42</v>
      </c>
      <c r="F12" s="28">
        <f>SUM(F3:F9)</f>
        <v>58301.42</v>
      </c>
      <c r="H12" s="28">
        <f>SUM(H3:H9)</f>
        <v>72298.537000000011</v>
      </c>
    </row>
    <row r="13" spans="1:10" x14ac:dyDescent="0.3">
      <c r="E13" t="s">
        <v>94</v>
      </c>
      <c r="F13" t="s">
        <v>105</v>
      </c>
    </row>
    <row r="14" spans="1:10" x14ac:dyDescent="0.3">
      <c r="A14" s="10" t="s">
        <v>106</v>
      </c>
      <c r="B14" s="10"/>
      <c r="C14" s="10"/>
      <c r="D14" s="30"/>
      <c r="E14" s="10"/>
      <c r="F14" s="10"/>
      <c r="G14" s="30"/>
      <c r="H14" s="30"/>
    </row>
    <row r="15" spans="1:10" x14ac:dyDescent="0.3">
      <c r="A15" s="10"/>
      <c r="B15" s="10"/>
      <c r="C15" s="10" t="s">
        <v>107</v>
      </c>
      <c r="D15" s="30"/>
      <c r="E15" s="10"/>
      <c r="F15" s="10"/>
      <c r="G15" s="30"/>
      <c r="H15" s="30"/>
    </row>
    <row r="16" spans="1:10" x14ac:dyDescent="0.3">
      <c r="A16" s="10"/>
      <c r="B16" s="10"/>
      <c r="C16" s="10" t="s">
        <v>108</v>
      </c>
      <c r="D16" s="30"/>
      <c r="E16" s="10"/>
      <c r="F16" s="10"/>
      <c r="G16" s="30"/>
      <c r="H16" s="30"/>
    </row>
    <row r="17" spans="1:8" x14ac:dyDescent="0.3">
      <c r="A17" s="10"/>
      <c r="B17" s="10"/>
      <c r="C17" s="10" t="s">
        <v>109</v>
      </c>
      <c r="D17" s="30"/>
      <c r="E17" s="10"/>
      <c r="F17" s="10"/>
      <c r="G17" s="30"/>
      <c r="H17" s="30"/>
    </row>
    <row r="18" spans="1:8" x14ac:dyDescent="0.3">
      <c r="A18" t="s">
        <v>110</v>
      </c>
      <c r="C18" t="s">
        <v>111</v>
      </c>
    </row>
    <row r="19" spans="1:8" x14ac:dyDescent="0.3">
      <c r="A19" s="10" t="s">
        <v>112</v>
      </c>
      <c r="B19" s="10"/>
      <c r="C19" s="10" t="s">
        <v>113</v>
      </c>
      <c r="D19" s="30"/>
      <c r="E19" s="10"/>
      <c r="F19" s="10"/>
      <c r="G19" s="30"/>
      <c r="H19" s="30"/>
    </row>
    <row r="20" spans="1:8" x14ac:dyDescent="0.3">
      <c r="A20" t="s">
        <v>114</v>
      </c>
      <c r="C20" t="s">
        <v>115</v>
      </c>
    </row>
    <row r="21" spans="1:8" x14ac:dyDescent="0.3">
      <c r="C21" t="s">
        <v>116</v>
      </c>
    </row>
    <row r="22" spans="1:8" x14ac:dyDescent="0.3">
      <c r="C22" t="s">
        <v>117</v>
      </c>
    </row>
    <row r="23" spans="1:8" x14ac:dyDescent="0.3">
      <c r="A23" s="10" t="s">
        <v>118</v>
      </c>
      <c r="B23" s="10"/>
      <c r="C23" s="10" t="s">
        <v>119</v>
      </c>
      <c r="D23" s="30"/>
      <c r="E23" s="10"/>
      <c r="F23" s="10"/>
      <c r="G23" s="30"/>
      <c r="H23" s="30"/>
    </row>
    <row r="24" spans="1:8" x14ac:dyDescent="0.3">
      <c r="A24" s="10"/>
      <c r="B24" s="10"/>
      <c r="C24" s="10" t="s">
        <v>120</v>
      </c>
      <c r="D24" s="30"/>
      <c r="E24" s="10"/>
      <c r="F24" s="10"/>
      <c r="G24" s="30"/>
      <c r="H24" s="30"/>
    </row>
    <row r="25" spans="1:8" x14ac:dyDescent="0.3">
      <c r="A25" s="10"/>
      <c r="B25" s="10"/>
      <c r="C25" s="10" t="s">
        <v>121</v>
      </c>
      <c r="D25" s="30"/>
      <c r="E25" s="10"/>
      <c r="F25" s="10"/>
      <c r="G25" s="30"/>
      <c r="H25" s="30"/>
    </row>
    <row r="26" spans="1:8" x14ac:dyDescent="0.3">
      <c r="A26" s="10"/>
      <c r="B26" s="10"/>
      <c r="C26" s="10" t="s">
        <v>122</v>
      </c>
      <c r="D26" s="30"/>
      <c r="E26" s="10"/>
      <c r="F26" s="10"/>
      <c r="G26" s="30"/>
      <c r="H26" s="30"/>
    </row>
    <row r="27" spans="1:8" x14ac:dyDescent="0.3">
      <c r="A27" t="s">
        <v>123</v>
      </c>
      <c r="C27" t="s">
        <v>124</v>
      </c>
      <c r="G27" s="26" t="s">
        <v>125</v>
      </c>
    </row>
    <row r="28" spans="1:8" x14ac:dyDescent="0.3">
      <c r="C28" t="s">
        <v>126</v>
      </c>
    </row>
    <row r="29" spans="1:8" x14ac:dyDescent="0.3">
      <c r="C29" t="s">
        <v>127</v>
      </c>
    </row>
    <row r="30" spans="1:8" x14ac:dyDescent="0.3">
      <c r="C30" t="s">
        <v>128</v>
      </c>
    </row>
  </sheetData>
  <pageMargins left="0.25" right="0.25" top="0.25" bottom="0.2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249977111117893"/>
  </sheetPr>
  <dimension ref="A1:I26"/>
  <sheetViews>
    <sheetView workbookViewId="0">
      <selection activeCell="A2" sqref="A2"/>
    </sheetView>
  </sheetViews>
  <sheetFormatPr defaultColWidth="8.77734375" defaultRowHeight="14.4" x14ac:dyDescent="0.3"/>
  <cols>
    <col min="1" max="1" width="25" customWidth="1"/>
    <col min="2" max="2" width="15" style="94" customWidth="1"/>
    <col min="3" max="3" width="14.33203125" style="94" customWidth="1"/>
    <col min="4" max="4" width="13.77734375" customWidth="1"/>
    <col min="5" max="5" width="14.77734375" customWidth="1"/>
  </cols>
  <sheetData>
    <row r="1" spans="1:9" x14ac:dyDescent="0.3">
      <c r="A1" s="84" t="s">
        <v>178</v>
      </c>
      <c r="B1" s="84" t="s">
        <v>179</v>
      </c>
      <c r="C1" s="210" t="s">
        <v>24</v>
      </c>
      <c r="D1" s="211" t="s">
        <v>187</v>
      </c>
      <c r="E1" s="84" t="s">
        <v>186</v>
      </c>
    </row>
    <row r="2" spans="1:9" x14ac:dyDescent="0.3">
      <c r="A2" s="71" t="str">
        <f>'Manufacturing-Testing-Other'!Z2</f>
        <v/>
      </c>
      <c r="B2" s="99" t="str">
        <f>'Manufacturing-Testing-Other'!AA2</f>
        <v/>
      </c>
      <c r="C2" s="212"/>
      <c r="D2" s="213"/>
      <c r="E2" s="113" t="str">
        <f>IF(A2="","",C2*D2)</f>
        <v/>
      </c>
    </row>
    <row r="3" spans="1:9" x14ac:dyDescent="0.3">
      <c r="A3" s="71" t="str">
        <f>'Manufacturing-Testing-Other'!Z3</f>
        <v/>
      </c>
      <c r="B3" s="100" t="str">
        <f>'Manufacturing-Testing-Other'!AA3</f>
        <v/>
      </c>
      <c r="C3" s="214"/>
      <c r="D3" s="215"/>
      <c r="E3" s="112" t="str">
        <f>IF(A3="","",C3*D3)</f>
        <v/>
      </c>
    </row>
    <row r="4" spans="1:9" x14ac:dyDescent="0.3">
      <c r="A4" s="71" t="str">
        <f>'Manufacturing-Testing-Other'!Z4</f>
        <v/>
      </c>
      <c r="B4" s="100" t="str">
        <f>'Manufacturing-Testing-Other'!AA4</f>
        <v/>
      </c>
      <c r="C4" s="214"/>
      <c r="D4" s="215"/>
      <c r="E4" s="112" t="str">
        <f t="shared" ref="E4:E20" si="0">IF(A4="","",C4*D4)</f>
        <v/>
      </c>
    </row>
    <row r="5" spans="1:9" x14ac:dyDescent="0.3">
      <c r="A5" s="71" t="str">
        <f>'Manufacturing-Testing-Other'!Z5</f>
        <v/>
      </c>
      <c r="B5" s="100" t="str">
        <f>'Manufacturing-Testing-Other'!AA5</f>
        <v/>
      </c>
      <c r="C5" s="214"/>
      <c r="D5" s="215"/>
      <c r="E5" s="112" t="str">
        <f t="shared" si="0"/>
        <v/>
      </c>
    </row>
    <row r="6" spans="1:9" x14ac:dyDescent="0.3">
      <c r="A6" s="71" t="str">
        <f>'Manufacturing-Testing-Other'!Z6</f>
        <v/>
      </c>
      <c r="B6" s="100" t="str">
        <f>'Manufacturing-Testing-Other'!AA6</f>
        <v/>
      </c>
      <c r="C6" s="214"/>
      <c r="D6" s="215"/>
      <c r="E6" s="112" t="str">
        <f t="shared" si="0"/>
        <v/>
      </c>
    </row>
    <row r="7" spans="1:9" x14ac:dyDescent="0.3">
      <c r="A7" s="71" t="str">
        <f>'Manufacturing-Testing-Other'!Z7</f>
        <v/>
      </c>
      <c r="B7" s="100" t="str">
        <f>'Manufacturing-Testing-Other'!AA7</f>
        <v/>
      </c>
      <c r="C7" s="214"/>
      <c r="D7" s="215"/>
      <c r="E7" s="112" t="str">
        <f t="shared" si="0"/>
        <v/>
      </c>
      <c r="H7" s="12"/>
    </row>
    <row r="8" spans="1:9" x14ac:dyDescent="0.3">
      <c r="A8" s="71" t="str">
        <f>'Manufacturing-Testing-Other'!Z8</f>
        <v/>
      </c>
      <c r="B8" s="100" t="str">
        <f>'Manufacturing-Testing-Other'!AA8</f>
        <v/>
      </c>
      <c r="C8" s="214"/>
      <c r="D8" s="215"/>
      <c r="E8" s="112" t="str">
        <f t="shared" si="0"/>
        <v/>
      </c>
    </row>
    <row r="9" spans="1:9" x14ac:dyDescent="0.3">
      <c r="A9" s="71" t="str">
        <f>'Manufacturing-Testing-Other'!Z9</f>
        <v/>
      </c>
      <c r="B9" s="100" t="str">
        <f>'Manufacturing-Testing-Other'!AA9</f>
        <v/>
      </c>
      <c r="C9" s="214"/>
      <c r="D9" s="215"/>
      <c r="E9" s="112" t="str">
        <f t="shared" si="0"/>
        <v/>
      </c>
    </row>
    <row r="10" spans="1:9" x14ac:dyDescent="0.3">
      <c r="A10" s="101" t="str">
        <f>'Manufacturing-Testing-Other'!Z10</f>
        <v/>
      </c>
      <c r="B10" s="102" t="str">
        <f>'Manufacturing-Testing-Other'!AA10</f>
        <v/>
      </c>
      <c r="C10" s="216"/>
      <c r="D10" s="217"/>
      <c r="E10" s="114" t="str">
        <f t="shared" si="0"/>
        <v/>
      </c>
    </row>
    <row r="11" spans="1:9" ht="14.4" customHeight="1" x14ac:dyDescent="0.3">
      <c r="A11" s="84" t="s">
        <v>322</v>
      </c>
      <c r="B11" s="84" t="s">
        <v>179</v>
      </c>
      <c r="C11" s="210" t="s">
        <v>24</v>
      </c>
      <c r="D11" s="211" t="s">
        <v>187</v>
      </c>
      <c r="E11" s="84" t="s">
        <v>186</v>
      </c>
    </row>
    <row r="12" spans="1:9" ht="14.4" customHeight="1" x14ac:dyDescent="0.3">
      <c r="A12" s="336"/>
      <c r="B12" s="337"/>
      <c r="C12" s="212"/>
      <c r="D12" s="213"/>
      <c r="E12" s="338" t="str">
        <f t="shared" si="0"/>
        <v/>
      </c>
    </row>
    <row r="13" spans="1:9" ht="14.4" customHeight="1" x14ac:dyDescent="0.3">
      <c r="A13" s="336"/>
      <c r="B13" s="337"/>
      <c r="C13" s="214"/>
      <c r="D13" s="215"/>
      <c r="E13" s="339" t="str">
        <f t="shared" si="0"/>
        <v/>
      </c>
    </row>
    <row r="14" spans="1:9" ht="14.4" customHeight="1" x14ac:dyDescent="0.4">
      <c r="A14" s="340"/>
      <c r="B14" s="340"/>
      <c r="C14" s="214"/>
      <c r="D14" s="215"/>
      <c r="E14" s="339" t="str">
        <f t="shared" si="0"/>
        <v/>
      </c>
      <c r="I14" s="12"/>
    </row>
    <row r="15" spans="1:9" ht="14.4" customHeight="1" x14ac:dyDescent="0.4">
      <c r="A15" s="340"/>
      <c r="B15" s="340"/>
      <c r="C15" s="214"/>
      <c r="D15" s="215"/>
      <c r="E15" s="339" t="str">
        <f t="shared" si="0"/>
        <v/>
      </c>
    </row>
    <row r="16" spans="1:9" ht="14.4" customHeight="1" x14ac:dyDescent="0.3">
      <c r="A16" s="341"/>
      <c r="B16" s="337"/>
      <c r="C16" s="214"/>
      <c r="D16" s="215"/>
      <c r="E16" s="339" t="str">
        <f t="shared" si="0"/>
        <v/>
      </c>
    </row>
    <row r="17" spans="1:5" ht="14.4" customHeight="1" x14ac:dyDescent="0.3">
      <c r="A17" s="341"/>
      <c r="B17" s="337"/>
      <c r="C17" s="214"/>
      <c r="D17" s="215"/>
      <c r="E17" s="339" t="str">
        <f t="shared" si="0"/>
        <v/>
      </c>
    </row>
    <row r="18" spans="1:5" ht="14.4" customHeight="1" x14ac:dyDescent="0.3">
      <c r="A18" s="341"/>
      <c r="B18" s="337"/>
      <c r="C18" s="214"/>
      <c r="D18" s="215"/>
      <c r="E18" s="339" t="str">
        <f t="shared" si="0"/>
        <v/>
      </c>
    </row>
    <row r="19" spans="1:5" ht="14.4" customHeight="1" x14ac:dyDescent="0.3">
      <c r="A19" s="341"/>
      <c r="B19" s="337"/>
      <c r="C19" s="214"/>
      <c r="D19" s="215"/>
      <c r="E19" s="339" t="str">
        <f t="shared" si="0"/>
        <v/>
      </c>
    </row>
    <row r="20" spans="1:5" ht="14.4" customHeight="1" x14ac:dyDescent="0.4">
      <c r="A20" s="342"/>
      <c r="B20" s="342"/>
      <c r="C20" s="216"/>
      <c r="D20" s="217"/>
      <c r="E20" s="343" t="str">
        <f t="shared" si="0"/>
        <v/>
      </c>
    </row>
    <row r="21" spans="1:5" ht="14.4" customHeight="1" x14ac:dyDescent="0.4">
      <c r="A21" s="333"/>
      <c r="B21" s="333"/>
      <c r="C21" s="333"/>
      <c r="D21" s="333"/>
      <c r="E21" s="333"/>
    </row>
    <row r="22" spans="1:5" ht="14.4" customHeight="1" x14ac:dyDescent="0.3"/>
    <row r="23" spans="1:5" x14ac:dyDescent="0.3">
      <c r="A23" s="335" t="s">
        <v>323</v>
      </c>
      <c r="B23" s="315"/>
      <c r="C23" s="315"/>
    </row>
    <row r="24" spans="1:5" x14ac:dyDescent="0.3">
      <c r="B24" s="315"/>
      <c r="C24" s="315"/>
    </row>
    <row r="25" spans="1:5" x14ac:dyDescent="0.3">
      <c r="A25" s="619" t="s">
        <v>233</v>
      </c>
      <c r="B25" s="619"/>
      <c r="C25" s="619"/>
      <c r="D25" s="619"/>
      <c r="E25" s="619"/>
    </row>
    <row r="26" spans="1:5" x14ac:dyDescent="0.3">
      <c r="A26" s="619"/>
      <c r="B26" s="619"/>
      <c r="C26" s="619"/>
      <c r="D26" s="619"/>
      <c r="E26" s="619"/>
    </row>
  </sheetData>
  <sheetProtection algorithmName="SHA-512" hashValue="mMc5etvuEDUtLL83bRMSt6GClOWpGtf9vyTpagLyJaCeCkqHiZdwxHKUvbfc2rUSpFjMxGQnbjl3tGAx4Xds1w==" saltValue="+VGULjZ5FxyBYk0UI4JT/A==" spinCount="100000" sheet="1" selectLockedCells="1"/>
  <mergeCells count="1">
    <mergeCell ref="A25:E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Protocol Cover Sheet</vt:lpstr>
      <vt:lpstr>Medications</vt:lpstr>
      <vt:lpstr>Startup</vt:lpstr>
      <vt:lpstr>Maintenence</vt:lpstr>
      <vt:lpstr>Dispensing</vt:lpstr>
      <vt:lpstr>Manufacturing-Testing-Other</vt:lpstr>
      <vt:lpstr>Testing</vt:lpstr>
      <vt:lpstr>Drug Prices</vt:lpstr>
      <vt:lpstr>Estimate Details</vt:lpstr>
      <vt:lpstr>'Manufacturing-Testing-Other'!Print_Area</vt:lpstr>
    </vt:vector>
  </TitlesOfParts>
  <Company>PMACS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2023-06-29T15:24:57Z</cp:lastPrinted>
  <dcterms:created xsi:type="dcterms:W3CDTF">2019-06-10T15:45:18Z</dcterms:created>
  <dcterms:modified xsi:type="dcterms:W3CDTF">2023-07-06T20:23:27Z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